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40" yWindow="3400" windowWidth="31220" windowHeight="23320" tabRatio="865" activeTab="14"/>
  </bookViews>
  <sheets>
    <sheet name="Perustiedot" sheetId="1" r:id="rId1"/>
    <sheet name="Alan lukuja" sheetId="2" r:id="rId2"/>
    <sheet name="Pääomantarve" sheetId="3" r:id="rId3"/>
    <sheet name="Rahoitus" sheetId="4" r:id="rId4"/>
    <sheet name="ostos&amp;hinnat" sheetId="5" r:id="rId5"/>
    <sheet name="myennuste" sheetId="6" r:id="rId6"/>
    <sheet name="tunnit" sheetId="7" r:id="rId7"/>
    <sheet name="tulos12kk" sheetId="8" r:id="rId8"/>
    <sheet name="takaisinmaksu" sheetId="9" r:id="rId9"/>
    <sheet name="Tunnusluvut" sheetId="10" r:id="rId10"/>
    <sheet name="kuviot" sheetId="11" r:id="rId11"/>
    <sheet name="Resurssit" sheetId="12" r:id="rId12"/>
    <sheet name="ravhintoja" sheetId="13" r:id="rId13"/>
    <sheet name="sijainti" sheetId="14" r:id="rId14"/>
    <sheet name="kilp.analyysi" sheetId="15" r:id="rId15"/>
    <sheet name="asemointi" sheetId="16" r:id="rId16"/>
    <sheet name="swot" sheetId="17" r:id="rId17"/>
    <sheet name="totsuunn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t r</author>
  </authors>
  <commentList>
    <comment ref="C14" authorId="0">
      <text>
        <r>
          <rPr>
            <b/>
            <sz val="9"/>
            <rFont val="Gill Sans Light"/>
            <family val="0"/>
          </rPr>
          <t>Luokitukset löytyvät nettiosoitteesta: http://www.stat.fi/tk/tt/luokitukset/toimiala_00_index.html</t>
        </r>
      </text>
    </comment>
  </commentList>
</comments>
</file>

<file path=xl/comments3.xml><?xml version="1.0" encoding="utf-8"?>
<comments xmlns="http://schemas.openxmlformats.org/spreadsheetml/2006/main">
  <authors>
    <author>t r</author>
  </authors>
  <commentList>
    <comment ref="E42" authorId="0">
      <text>
        <r>
          <rPr>
            <b/>
            <sz val="9"/>
            <rFont val="Geneva"/>
            <family val="0"/>
          </rPr>
          <t>Vakuutukset, puhelin, posti, jne.</t>
        </r>
      </text>
    </comment>
    <comment ref="E36" authorId="0">
      <text>
        <r>
          <rPr>
            <b/>
            <sz val="9"/>
            <rFont val="Geneva"/>
            <family val="0"/>
          </rPr>
          <t>Ilmoitukset ja luvat</t>
        </r>
      </text>
    </comment>
    <comment ref="E40" authorId="0">
      <text>
        <r>
          <rPr>
            <b/>
            <sz val="9"/>
            <rFont val="Geneva"/>
            <family val="0"/>
          </rPr>
          <t>Sisältää työntekijöiden palkat sekä työnantajamaksut kolmen kuukauden ajalta</t>
        </r>
      </text>
    </comment>
    <comment ref="E38" authorId="0">
      <text>
        <r>
          <rPr>
            <b/>
            <sz val="9"/>
            <rFont val="Geneva"/>
            <family val="0"/>
          </rPr>
          <t>Kolmen kuukauden vuokrat</t>
        </r>
      </text>
    </comment>
    <comment ref="E46" authorId="0">
      <text>
        <r>
          <rPr>
            <b/>
            <sz val="9"/>
            <rFont val="Geneva"/>
            <family val="0"/>
          </rPr>
          <t>Kolmen kuukauden varasto</t>
        </r>
      </text>
    </comment>
  </commentList>
</comments>
</file>

<file path=xl/comments4.xml><?xml version="1.0" encoding="utf-8"?>
<comments xmlns="http://schemas.openxmlformats.org/spreadsheetml/2006/main">
  <authors>
    <author>t r</author>
  </authors>
  <commentList>
    <comment ref="D4" authorId="0">
      <text>
        <r>
          <rPr>
            <sz val="9"/>
            <rFont val="Gill Sans Light"/>
            <family val="0"/>
          </rPr>
          <t>Osakepääoma koostuu yrittäjän osakkeisiin sijoittamasta pääomasta.</t>
        </r>
      </text>
    </comment>
    <comment ref="D5" authorId="0">
      <text>
        <r>
          <rPr>
            <b/>
            <sz val="9"/>
            <rFont val="Geneva"/>
            <family val="0"/>
          </rPr>
          <t>Osakaslainat koostuvat osakkaiden yritykselle antamasta lainasta</t>
        </r>
      </text>
    </comment>
    <comment ref="D8" authorId="0">
      <text>
        <r>
          <rPr>
            <b/>
            <sz val="9"/>
            <rFont val="Geneva"/>
            <family val="0"/>
          </rPr>
          <t>Yli yhden vuoden lainat, esim. pankkilainat</t>
        </r>
      </text>
    </comment>
    <comment ref="D9" authorId="0">
      <text>
        <r>
          <rPr>
            <b/>
            <sz val="9"/>
            <rFont val="Geneva"/>
            <family val="0"/>
          </rPr>
          <t>Alle yksivuotiset lainat</t>
        </r>
      </text>
    </comment>
    <comment ref="D10" authorId="0">
      <text>
        <r>
          <rPr>
            <b/>
            <sz val="9"/>
            <rFont val="Geneva"/>
            <family val="0"/>
          </rPr>
          <t>Luotollinen shekkitili tms.</t>
        </r>
      </text>
    </comment>
    <comment ref="D11" authorId="0">
      <text>
        <r>
          <rPr>
            <b/>
            <sz val="9"/>
            <rFont val="Geneva"/>
            <family val="0"/>
          </rPr>
          <t>Tavarantoimittajan antama ostoluotto</t>
        </r>
      </text>
    </comment>
    <comment ref="D12" authorId="0">
      <text>
        <r>
          <rPr>
            <b/>
            <sz val="9"/>
            <rFont val="Geneva"/>
            <family val="0"/>
          </rPr>
          <t>Muista lähteistä saatu vpo</t>
        </r>
      </text>
    </comment>
  </commentList>
</comments>
</file>

<file path=xl/comments6.xml><?xml version="1.0" encoding="utf-8"?>
<comments xmlns="http://schemas.openxmlformats.org/spreadsheetml/2006/main">
  <authors>
    <author>t r</author>
  </authors>
  <commentList>
    <comment ref="B5" authorId="0">
      <text>
        <r>
          <rPr>
            <b/>
            <sz val="9"/>
            <rFont val="Geneva"/>
            <family val="0"/>
          </rPr>
          <t>Ajanjakson voi korvata myös kellonajalla</t>
        </r>
      </text>
    </comment>
    <comment ref="H9" authorId="0">
      <text>
        <r>
          <rPr>
            <b/>
            <sz val="9"/>
            <rFont val="Geneva"/>
            <family val="0"/>
          </rPr>
          <t>Myynti sisältää arvonlisäveron</t>
        </r>
      </text>
    </comment>
  </commentList>
</comments>
</file>

<file path=xl/comments7.xml><?xml version="1.0" encoding="utf-8"?>
<comments xmlns="http://schemas.openxmlformats.org/spreadsheetml/2006/main">
  <authors>
    <author>t r</author>
  </authors>
  <commentList>
    <comment ref="D5" authorId="0">
      <text>
        <r>
          <rPr>
            <b/>
            <sz val="9"/>
            <rFont val="Geneva"/>
            <family val="0"/>
          </rPr>
          <t>Viikkotuntilaskelmaan käytettävissä olevien tuntien määrä silloin, kun tavoiteltu henkilöstökulujen osuus täsmää ennustettuun myyntiin.</t>
        </r>
      </text>
    </comment>
    <comment ref="D4" authorId="0">
      <text>
        <r>
          <rPr>
            <b/>
            <sz val="9"/>
            <rFont val="Geneva"/>
            <family val="0"/>
          </rPr>
          <t>Tavoitteena oleva henkilöstökulujen  prosenttiosuus liikevaihdosta</t>
        </r>
      </text>
    </comment>
  </commentList>
</comments>
</file>

<file path=xl/comments9.xml><?xml version="1.0" encoding="utf-8"?>
<comments xmlns="http://schemas.openxmlformats.org/spreadsheetml/2006/main">
  <authors>
    <author>t r</author>
  </authors>
  <commentList>
    <comment ref="A6" authorId="0">
      <text>
        <r>
          <rPr>
            <b/>
            <sz val="9"/>
            <rFont val="Geneva"/>
            <family val="0"/>
          </rPr>
          <t>Myynnin arvo oletetaan samaksi seuraavina vuosina; ainoastaan inflaatio vaikuttaa siihen.</t>
        </r>
      </text>
    </comment>
    <comment ref="B22" authorId="0">
      <text>
        <r>
          <rPr>
            <b/>
            <sz val="9"/>
            <rFont val="Geneva"/>
            <family val="0"/>
          </rPr>
          <t>Vieras pääoma on tässä sama kuin lainojen osuus. Sen tulee täsmätä rahoituslaskelman lukemien kanssa.</t>
        </r>
      </text>
    </comment>
    <comment ref="A24" authorId="0">
      <text>
        <r>
          <rPr>
            <b/>
            <sz val="9"/>
            <rFont val="Geneva"/>
            <family val="0"/>
          </rPr>
          <t>Kokonaismaksu on vuosittain maksettava laina plus korot.</t>
        </r>
      </text>
    </comment>
    <comment ref="A25" authorId="0">
      <text>
        <r>
          <rPr>
            <b/>
            <sz val="9"/>
            <rFont val="Geneva"/>
            <family val="0"/>
          </rPr>
          <t>Lainan lyhennykseen menevä osuus kokonaismaksusta.</t>
        </r>
      </text>
    </comment>
    <comment ref="A26" authorId="0">
      <text>
        <r>
          <rPr>
            <b/>
            <sz val="9"/>
            <rFont val="Geneva"/>
            <family val="0"/>
          </rPr>
          <t>Korkojen osuus vuosittaisesta kokonaismaksusta.</t>
        </r>
      </text>
    </comment>
    <comment ref="A27" authorId="0">
      <text>
        <r>
          <rPr>
            <b/>
            <sz val="9"/>
            <rFont val="Geneva"/>
            <family val="0"/>
          </rPr>
          <t>Lainan jäljellä oleva osuus vuoden lopulla.</t>
        </r>
      </text>
    </comment>
    <comment ref="B32" authorId="0">
      <text>
        <r>
          <rPr>
            <b/>
            <sz val="9"/>
            <rFont val="Geneva"/>
            <family val="0"/>
          </rPr>
          <t>Laskentakorko on se korko, jolla laina on otettu.</t>
        </r>
      </text>
    </comment>
    <comment ref="B33" authorId="0">
      <text>
        <r>
          <rPr>
            <b/>
            <sz val="9"/>
            <rFont val="Geneva"/>
            <family val="0"/>
          </rPr>
          <t>Inflaation vaikutus myynnin arvoon</t>
        </r>
      </text>
    </comment>
    <comment ref="F33" authorId="0">
      <text>
        <r>
          <rPr>
            <b/>
            <sz val="9"/>
            <rFont val="Geneva"/>
            <family val="0"/>
          </rPr>
          <t>Kokonaiskorko on lainan hinta, eli kaikki korkokulut yhteenlaskettuna</t>
        </r>
      </text>
    </comment>
    <comment ref="F34" authorId="0">
      <text>
        <r>
          <rPr>
            <b/>
            <sz val="9"/>
            <rFont val="Geneva"/>
            <family val="0"/>
          </rPr>
          <t>Lainan kokonaishinta on laina plus kokonaiskorko.</t>
        </r>
      </text>
    </comment>
  </commentList>
</comments>
</file>

<file path=xl/sharedStrings.xml><?xml version="1.0" encoding="utf-8"?>
<sst xmlns="http://schemas.openxmlformats.org/spreadsheetml/2006/main" count="961" uniqueCount="541">
  <si>
    <t>Konkurssien lukumäärä</t>
  </si>
  <si>
    <t>Keskivuosiansio tarjoilija</t>
  </si>
  <si>
    <t>Keskivuosiansio esimies</t>
  </si>
  <si>
    <t>Vieras pääoma (lainat)</t>
  </si>
  <si>
    <t>Laskentakorko</t>
  </si>
  <si>
    <t>Laina-aika</t>
  </si>
  <si>
    <t>Pääomistaja ei ole mukana operatiivisessa toiminnassa.</t>
  </si>
  <si>
    <t>Veikko Veikkonen</t>
  </si>
  <si>
    <t>Toimialaluokka</t>
  </si>
  <si>
    <t>Pankkiyhteys</t>
  </si>
  <si>
    <t>kpl</t>
  </si>
  <si>
    <t>Yhteensä</t>
  </si>
  <si>
    <t>Tulosennuste perustuen aikaisempiin laskelmiin</t>
  </si>
  <si>
    <t>09-555 1234</t>
  </si>
  <si>
    <t>OY</t>
  </si>
  <si>
    <t>Y-tunnus</t>
  </si>
  <si>
    <t>Yrityksen nimi</t>
  </si>
  <si>
    <t>1234567-8</t>
  </si>
  <si>
    <t>Nordia 123456-789012</t>
  </si>
  <si>
    <t>Veikkonen 51%</t>
  </si>
  <si>
    <t>Pennanen 30 %</t>
  </si>
  <si>
    <t>Heikura 19%</t>
  </si>
  <si>
    <t>My / as.pa. / kk</t>
  </si>
  <si>
    <t xml:space="preserve">       </t>
  </si>
  <si>
    <t>Osoite</t>
  </si>
  <si>
    <t>Puhelinnumero</t>
  </si>
  <si>
    <t>Fax</t>
  </si>
  <si>
    <t>www-osoite</t>
  </si>
  <si>
    <t>sähköposti</t>
  </si>
  <si>
    <t>Perustamispvm</t>
  </si>
  <si>
    <t>Lähteet:</t>
  </si>
  <si>
    <t>Asiakkaita / ostoja</t>
  </si>
  <si>
    <t>Rekisteröintipvm</t>
  </si>
  <si>
    <t>Yritysmuoto</t>
  </si>
  <si>
    <t>Heikki Heikura</t>
  </si>
  <si>
    <t>Petri Pennanen</t>
  </si>
  <si>
    <t>)</t>
  </si>
  <si>
    <t>koko vuosi</t>
  </si>
  <si>
    <t>%</t>
  </si>
  <si>
    <t>Myynti</t>
  </si>
  <si>
    <t>Oikaisuerät</t>
  </si>
  <si>
    <t>Myynti/asiakaspaikka/ Helsinki</t>
  </si>
  <si>
    <t>€ / kk</t>
  </si>
  <si>
    <t>Ravintolatyyppi</t>
  </si>
  <si>
    <t>Vuosi</t>
  </si>
  <si>
    <t>Myyntikate</t>
  </si>
  <si>
    <t>Palkkakate</t>
  </si>
  <si>
    <t>Käyttökate</t>
  </si>
  <si>
    <t>Kaikki yhteensä</t>
  </si>
  <si>
    <t>Työvoimankäytön suunnittelu</t>
  </si>
  <si>
    <t>Tulosennuste ensimmäiselle vuodelle</t>
  </si>
  <si>
    <t>Keskiostos</t>
  </si>
  <si>
    <t>Ruokatuotteet</t>
  </si>
  <si>
    <t>Alkoholit</t>
  </si>
  <si>
    <t>Muu vpo</t>
  </si>
  <si>
    <t>Avustukset</t>
  </si>
  <si>
    <t>Tunnuslukuja</t>
  </si>
  <si>
    <t>myyntikate</t>
  </si>
  <si>
    <t>palkkakate</t>
  </si>
  <si>
    <t>käyttökate</t>
  </si>
  <si>
    <t>Myynti vuodessa</t>
  </si>
  <si>
    <t>Tuotteen osuus ryhmän myynnistä</t>
  </si>
  <si>
    <t>Tuoteryhmän osuus kokonais-myynnistä</t>
  </si>
  <si>
    <t>aamu</t>
  </si>
  <si>
    <t>iltapäivä</t>
  </si>
  <si>
    <t>Osakkeen nimellisarvo</t>
  </si>
  <si>
    <t>Toimitusjohtaja</t>
  </si>
  <si>
    <t>Hallituksen jäsenet</t>
  </si>
  <si>
    <t>myynti / vko</t>
  </si>
  <si>
    <t>myynti / kk</t>
  </si>
  <si>
    <t>Pitkäaikaiset lainat</t>
  </si>
  <si>
    <t>Lyhytaikaiset lainat</t>
  </si>
  <si>
    <t>alkuilta</t>
  </si>
  <si>
    <t>loppuilta</t>
  </si>
  <si>
    <t>Maanantai</t>
  </si>
  <si>
    <t>Tiistai</t>
  </si>
  <si>
    <t>Keskiviikko</t>
  </si>
  <si>
    <t>Torstai</t>
  </si>
  <si>
    <t>Rahoitusrakenne</t>
  </si>
  <si>
    <t>Toiminnan laajuus</t>
  </si>
  <si>
    <t>Koko pääoma</t>
  </si>
  <si>
    <t>Liiketoiminta</t>
  </si>
  <si>
    <t>Liiketila</t>
  </si>
  <si>
    <t>Kiinteistö</t>
  </si>
  <si>
    <t>Rakennus</t>
  </si>
  <si>
    <t>Koneet ja laitteet</t>
  </si>
  <si>
    <t>Ostohinta</t>
  </si>
  <si>
    <t>Asennus</t>
  </si>
  <si>
    <t>Kuljetus</t>
  </si>
  <si>
    <t>Syksy 2009</t>
  </si>
  <si>
    <t>Taloudellinen toimintaympäristö on melko epävakaa ja herkkä suhdannevaihteluille.</t>
  </si>
  <si>
    <t>Hyvin suoritettu segmentoiniti.</t>
  </si>
  <si>
    <t>Kohderyhmä on ostokykyistä ja lukuisaa.</t>
  </si>
  <si>
    <t>Virvoke</t>
  </si>
  <si>
    <t>Investoinnit</t>
  </si>
  <si>
    <t>Yli- / alijäämä</t>
  </si>
  <si>
    <t>Kriittinen liikevaihto</t>
  </si>
  <si>
    <t>vuotta</t>
  </si>
  <si>
    <t xml:space="preserve"> </t>
  </si>
  <si>
    <t>Muut</t>
  </si>
  <si>
    <t xml:space="preserve">           </t>
  </si>
  <si>
    <t>MyKa-% KA</t>
  </si>
  <si>
    <t>yht.</t>
  </si>
  <si>
    <t>Sivukulut (%)</t>
  </si>
  <si>
    <t>Sali</t>
  </si>
  <si>
    <t>Keittiö</t>
  </si>
  <si>
    <t>Vähimmäismyyntivaatimus</t>
  </si>
  <si>
    <t xml:space="preserve">Vähimmäisliikevaihtovaatimus </t>
  </si>
  <si>
    <t>Henkilöstökulut / kk (sis. sivukulut)</t>
  </si>
  <si>
    <t>Tunnit kuussa</t>
  </si>
  <si>
    <t>Tunnit viikossa</t>
  </si>
  <si>
    <t>kk</t>
  </si>
  <si>
    <t>A- ja B-ravintola</t>
  </si>
  <si>
    <t>Hintakehitys</t>
  </si>
  <si>
    <t>Takaisinmaksuennuste</t>
  </si>
  <si>
    <t>Tuotteen verollinen hinta</t>
  </si>
  <si>
    <t>Keskiostos (sis.alv)</t>
  </si>
  <si>
    <t xml:space="preserve">Tuntilaskelma </t>
  </si>
  <si>
    <t>Asiakaspaikkoja/koko maa</t>
  </si>
  <si>
    <t>Asiakaspaikkoja/Helsinki</t>
  </si>
  <si>
    <t>Vuosimyynti/koko maa</t>
  </si>
  <si>
    <t>Vuosimyynti/Helsinki</t>
  </si>
  <si>
    <t>muutos</t>
  </si>
  <si>
    <t>Myynti/asiakaspaikka/ koko maa</t>
  </si>
  <si>
    <t>Osakaslainat</t>
  </si>
  <si>
    <t>Ennustettu kuukausimyynti</t>
  </si>
  <si>
    <t>Tuoteryhmän tuotteen keskiarvohinta</t>
  </si>
  <si>
    <t>Apulaskelma</t>
  </si>
  <si>
    <t>Voimavara-analyysi</t>
  </si>
  <si>
    <t>1--5</t>
  </si>
  <si>
    <t>Henkiset resurssit</t>
  </si>
  <si>
    <t>Taloudelliset resurssit</t>
  </si>
  <si>
    <t>Fyysiset resurssit</t>
  </si>
  <si>
    <t>Sosiaaliset resurssit</t>
  </si>
  <si>
    <t>Kehitettävää</t>
  </si>
  <si>
    <t xml:space="preserve">    </t>
  </si>
  <si>
    <t>Ravintolahintoja</t>
  </si>
  <si>
    <t>Ajankohta:</t>
  </si>
  <si>
    <t>Sijainti</t>
  </si>
  <si>
    <t>oik.</t>
  </si>
  <si>
    <t>Tyyppi</t>
  </si>
  <si>
    <t>Muutostyöt</t>
  </si>
  <si>
    <t>Sisustus</t>
  </si>
  <si>
    <t>Suunnittelu</t>
  </si>
  <si>
    <t>Kalusto &amp; kulkuneuvot</t>
  </si>
  <si>
    <t>Hallinto</t>
  </si>
  <si>
    <t>Korjaus</t>
  </si>
  <si>
    <t>Irtaimisto</t>
  </si>
  <si>
    <t>Käyttöpääoma</t>
  </si>
  <si>
    <t>Perustamiskulut</t>
  </si>
  <si>
    <t>Vuokrat</t>
  </si>
  <si>
    <t>Varasto</t>
  </si>
  <si>
    <t>Käteisvarat</t>
  </si>
  <si>
    <t>Oma pääoma</t>
  </si>
  <si>
    <t>Osakepääoma</t>
  </si>
  <si>
    <t>Investoinnit yhteensä</t>
  </si>
  <si>
    <t>Käyttöpääoma yhteensä</t>
  </si>
  <si>
    <t>Pääomantarve yhteensä</t>
  </si>
  <si>
    <t>Ravintolayrityksen perustiedot</t>
  </si>
  <si>
    <t>Aukioloajat</t>
  </si>
  <si>
    <t>su suljettu</t>
  </si>
  <si>
    <t>Kateprosentit</t>
  </si>
  <si>
    <t>Tehokkuus</t>
  </si>
  <si>
    <t>Rahoituksen lähteet</t>
  </si>
  <si>
    <t>Avajaiset</t>
  </si>
  <si>
    <t>AUKI!</t>
  </si>
  <si>
    <t>Hallinto ja byrokratia</t>
  </si>
  <si>
    <t>Yrityksen perustaminen</t>
  </si>
  <si>
    <t>Ravintolaliiketoiminnan osto</t>
  </si>
  <si>
    <t>xxx</t>
  </si>
  <si>
    <t>Ilmoitukset ja hakemukset</t>
  </si>
  <si>
    <t>Sopimukset: kirjanpito, vakuutus, pankit</t>
  </si>
  <si>
    <t>Laskettu pääomantarve</t>
  </si>
  <si>
    <t>/ kk</t>
  </si>
  <si>
    <t>Alan työllinen työvoima</t>
  </si>
  <si>
    <t>RP rekrytointi</t>
  </si>
  <si>
    <t>Henkilöstön rekrytointi</t>
  </si>
  <si>
    <t>ilmoitukset</t>
  </si>
  <si>
    <t>palkkaus</t>
  </si>
  <si>
    <t>Henkilöstön koulutus</t>
  </si>
  <si>
    <t>Laatukäsikirjan kirjoittaminen</t>
  </si>
  <si>
    <t>Kustannusrakenne</t>
  </si>
  <si>
    <t>Toimipaikkoja/koko maa</t>
  </si>
  <si>
    <t>Tarjouspyynnöt kalusteista ja koneista</t>
  </si>
  <si>
    <t>Kaluston ja koneiden hankinta</t>
  </si>
  <si>
    <t xml:space="preserve">                                                 </t>
  </si>
  <si>
    <t>Asiakasvirrat</t>
  </si>
  <si>
    <t>Myyntipotentiaali</t>
  </si>
  <si>
    <t>Kilpailijat</t>
  </si>
  <si>
    <t>Kilpailija-analyysi</t>
  </si>
  <si>
    <t>Kohderyhmä</t>
  </si>
  <si>
    <t>Tuote</t>
  </si>
  <si>
    <t>Palvelu</t>
  </si>
  <si>
    <t>Laatu</t>
  </si>
  <si>
    <t>Ilmapiiri</t>
  </si>
  <si>
    <t>Markk. os.</t>
  </si>
  <si>
    <t xml:space="preserve">Ennustetun myynnin ja myyntivaatimuksen ero </t>
  </si>
  <si>
    <t>Arvio tuoteryhmän kateprosentista</t>
  </si>
  <si>
    <t>Kokonaispinta-ala m2</t>
  </si>
  <si>
    <t>Vuosimyynti</t>
  </si>
  <si>
    <t>Henkilöstön määrä</t>
  </si>
  <si>
    <t>Myynti / tehty työtunti</t>
  </si>
  <si>
    <t>Keskiostos / asiakas</t>
  </si>
  <si>
    <t xml:space="preserve">Myynti / asiakaspaikka </t>
  </si>
  <si>
    <t>Myynti / neliö</t>
  </si>
  <si>
    <t>pax</t>
  </si>
  <si>
    <t>Kuukausimyynti</t>
  </si>
  <si>
    <t xml:space="preserve">Ravintolan vahva konsepti on viimeistellysti suunniteltu juuri oikealle kohderyhmälle </t>
  </si>
  <si>
    <t>Konsepti on melko yksipuolinen.</t>
  </si>
  <si>
    <t>Ravintolan tuote on laadukas, toimiva ja oikein tuotettu.</t>
  </si>
  <si>
    <t xml:space="preserve">Ravintola on pieni </t>
  </si>
  <si>
    <t>Kohderyhmän vaatimuksia vastaavaa baaria ei markkinoilla ole.</t>
  </si>
  <si>
    <t>myynti / v</t>
  </si>
  <si>
    <t>Kahvi</t>
  </si>
  <si>
    <t>Luotollinen tili</t>
  </si>
  <si>
    <t>Erityisrahoitus</t>
  </si>
  <si>
    <t>ma</t>
  </si>
  <si>
    <t>ti</t>
  </si>
  <si>
    <t>ke</t>
  </si>
  <si>
    <t>to</t>
  </si>
  <si>
    <t>pe</t>
  </si>
  <si>
    <t>la</t>
  </si>
  <si>
    <t>su</t>
  </si>
  <si>
    <t>Perjantai</t>
  </si>
  <si>
    <t>Pieni leipä</t>
  </si>
  <si>
    <t>Iso leipä</t>
  </si>
  <si>
    <t>Lämmin leipä</t>
  </si>
  <si>
    <t>Kaatoviina 1</t>
  </si>
  <si>
    <t>Kaatoviina 2</t>
  </si>
  <si>
    <t>Erikois</t>
  </si>
  <si>
    <t>Erikoisviina</t>
  </si>
  <si>
    <t>Kaatoviina 3</t>
  </si>
  <si>
    <t>Kallis viina</t>
  </si>
  <si>
    <t>Kampanjaviina</t>
  </si>
  <si>
    <t>Kotimainen</t>
  </si>
  <si>
    <t>Ulkomainen</t>
  </si>
  <si>
    <t xml:space="preserve">Erikois </t>
  </si>
  <si>
    <t>Olut ja siideri</t>
  </si>
  <si>
    <t>Limonadi</t>
  </si>
  <si>
    <t>Vesi</t>
  </si>
  <si>
    <t>Normaali</t>
  </si>
  <si>
    <t>Muu lämmin</t>
  </si>
  <si>
    <t>Korjaus  ja kunnossapito</t>
  </si>
  <si>
    <t>Sekalaiset kulut</t>
  </si>
  <si>
    <t>Toimipaikkoja/Helsinki</t>
  </si>
  <si>
    <t>Kotitalouksien HR-menot</t>
  </si>
  <si>
    <t>Alan tunnuslukuja</t>
  </si>
  <si>
    <t>Liikevaihto</t>
  </si>
  <si>
    <t>€</t>
  </si>
  <si>
    <t>Velkaantumisaste</t>
  </si>
  <si>
    <t>Hyvä ravintola-alan tuntemus. Ammattitaitoa ja kokemusta.</t>
  </si>
  <si>
    <t>Mahdollisuus sijoittaa omia varoja projektiin.</t>
  </si>
  <si>
    <t xml:space="preserve">Vahva motivaatio. Markkinoinnin hallinta. </t>
  </si>
  <si>
    <t>Tuntee sijoittajia. Tuntee asiakaskunnan.</t>
  </si>
  <si>
    <t>Mahdollisuudet</t>
  </si>
  <si>
    <t>Uhat</t>
  </si>
  <si>
    <t>Ainutlaatuinen ravintolakonsepti</t>
  </si>
  <si>
    <t xml:space="preserve">Trendikäs paikka tehdä treffit </t>
  </si>
  <si>
    <t>Snobistinen ja urbaani lontoowannabe</t>
  </si>
  <si>
    <t>Latinohenkinen, hedonistinen</t>
  </si>
  <si>
    <t>Segmentoitu kohderyhmä ei löydä ravintolaamme.</t>
  </si>
  <si>
    <t>Omaa kontakteja ravintola-alan vaikuttajiin ja toimijoihin. Tuntee kohderyhmän ja osaa valita oikeat työntekijät.</t>
  </si>
  <si>
    <t>Punavuori</t>
  </si>
  <si>
    <t>Ydinkeskusta</t>
  </si>
  <si>
    <t>Etu-Töölö</t>
  </si>
  <si>
    <t>High &amp; Dry</t>
  </si>
  <si>
    <t>hinta</t>
  </si>
  <si>
    <t>halpa</t>
  </si>
  <si>
    <t>kallis</t>
  </si>
  <si>
    <t>sijainti</t>
  </si>
  <si>
    <t>syrjäinen</t>
  </si>
  <si>
    <t>keskeinen</t>
  </si>
  <si>
    <t>Liikeideaa vastaavaa henkilökuntaa ei löydy, jolloin oikea työilmapiiri ei kehity</t>
  </si>
  <si>
    <t>Suhdemarkkinointi: uskolliset kanta-asiakkaat</t>
  </si>
  <si>
    <t>Ravintolan johdon odotukset ovat epärealistisia</t>
  </si>
  <si>
    <t>Myyntiennuste perustuen keskiostokseen</t>
  </si>
  <si>
    <t>Vieras pääoma</t>
  </si>
  <si>
    <t>la12.00 - 03.00</t>
  </si>
  <si>
    <t>ma-pe 10.00-02.00</t>
  </si>
  <si>
    <t>Asiakaspinta-ala m2</t>
  </si>
  <si>
    <t>/ v</t>
  </si>
  <si>
    <t xml:space="preserve">kpl / v </t>
  </si>
  <si>
    <t>Henkilöstökulut (sis. sivukulut)</t>
  </si>
  <si>
    <t>Alan keskiarvo</t>
  </si>
  <si>
    <t>Trendit muuttuvat kohti yhä terveellisempiä elämäntapoja ja lisääntyvä vapaa-aika käytetään muuhun kuin ravintolapalveluihin ostoon.</t>
  </si>
  <si>
    <t>Yhä kiristyvä kilpailu  johtaa pienenevään myyntiin per asiakaspaikka</t>
  </si>
  <si>
    <t>Vakuudet ja ennakkomaksut</t>
  </si>
  <si>
    <t>Osakkaat ja %-osuudet</t>
  </si>
  <si>
    <t>Tuet</t>
  </si>
  <si>
    <t>Tuntipalkka sivukuluineen</t>
  </si>
  <si>
    <t>Ostovelat tavarantoimittajille</t>
  </si>
  <si>
    <t>Ennustettu keskiostos</t>
  </si>
  <si>
    <t>Aika</t>
  </si>
  <si>
    <t>Henkilökuntaa tarvitaan</t>
  </si>
  <si>
    <t>Käytettävissä olevat työtunnit</t>
  </si>
  <si>
    <t>tanssi</t>
  </si>
  <si>
    <t>ruoka</t>
  </si>
  <si>
    <t>Sijaintianalyysi</t>
  </si>
  <si>
    <t>Tarkennus</t>
  </si>
  <si>
    <t>Alueen hintataso</t>
  </si>
  <si>
    <t>Alueen luonne</t>
  </si>
  <si>
    <t>Logistiikka</t>
  </si>
  <si>
    <t>Lauantai</t>
  </si>
  <si>
    <t>Sunnuntai</t>
  </si>
  <si>
    <t>(</t>
  </si>
  <si>
    <t>My / as.pa. / v</t>
  </si>
  <si>
    <t>Asiakaspaikkoja</t>
  </si>
  <si>
    <t>Ravintolan nimi</t>
  </si>
  <si>
    <t>Tuntipalkka</t>
  </si>
  <si>
    <t>Vuokrakulut</t>
  </si>
  <si>
    <t>Muut kiinteät kulut</t>
  </si>
  <si>
    <t>Aineostot</t>
  </si>
  <si>
    <t>Hlöstökulut (sis. sivukulut)</t>
  </si>
  <si>
    <t>Henkilöstökulut</t>
  </si>
  <si>
    <t>Kiinteät kulut</t>
  </si>
  <si>
    <t>Inflaatiokorotus</t>
  </si>
  <si>
    <t>Markkinointi</t>
  </si>
  <si>
    <t>Myynti / työntekijä</t>
  </si>
  <si>
    <t xml:space="preserve">€ </t>
  </si>
  <si>
    <t>Omavaraisuusaste</t>
  </si>
  <si>
    <t>Ei asuntoja. Runsaasti liiketilaa. Vilkas läpi vuorokauden.</t>
  </si>
  <si>
    <t>Perinteinen porvarikaupunginosa. Paljon asuintaloja. Hiljenee iltaisin.</t>
  </si>
  <si>
    <t>Ei rautatieaseman ympäristö</t>
  </si>
  <si>
    <t>Etummainen Töölö</t>
  </si>
  <si>
    <t>Kohderyhmän ostokäyttäytymisessä tapahtuu olennainen muutos.</t>
  </si>
  <si>
    <t>Konseptia voidaan monistaa ja laajentaa</t>
  </si>
  <si>
    <t>SHR</t>
  </si>
  <si>
    <t>STTV</t>
  </si>
  <si>
    <t>Ostotoiminnot</t>
  </si>
  <si>
    <t>Tavaratoimittajasopimukset</t>
  </si>
  <si>
    <t>Yrjönkadulta Albertinkadulle</t>
  </si>
  <si>
    <t>Ydinkeskustan kupeessa, Fredan ympäristössä</t>
  </si>
  <si>
    <t>Toimiva</t>
  </si>
  <si>
    <t>Vilkas kautta linjan</t>
  </si>
  <si>
    <t>Päivisin työntekijät, iltaisin asukkaat</t>
  </si>
  <si>
    <t>Päivisin työntekijät,  iltaisin suhteellisen runsas</t>
  </si>
  <si>
    <t>Oikealla paikalla hyvä</t>
  </si>
  <si>
    <t>Kaikki käy</t>
  </si>
  <si>
    <t>Paikan pitää olla oikea</t>
  </si>
  <si>
    <t>Paljon kaikenlaisia</t>
  </si>
  <si>
    <t>Vähäinen kilpailu</t>
  </si>
  <si>
    <t>Runsaasti asiakaskuntaa, oikea kohderyhmä pitää hakea.</t>
  </si>
  <si>
    <t>30-58, M&amp;N, insinööri, varakas, pikkutakki</t>
  </si>
  <si>
    <t>18-55, M&amp;N, Fin+Swe, Kantakaupunki</t>
  </si>
  <si>
    <t>20-40, M&amp;N, Bättre folk, kantakaupunki</t>
  </si>
  <si>
    <t xml:space="preserve">baaritiskiltä. </t>
  </si>
  <si>
    <t>itsepalvelu.</t>
  </si>
  <si>
    <t>Imago</t>
  </si>
  <si>
    <t>Heikkous</t>
  </si>
  <si>
    <t>Vetovoimatekijä</t>
  </si>
  <si>
    <t>Henkilöstö</t>
  </si>
  <si>
    <t>pax.</t>
  </si>
  <si>
    <t>Asemointikartta</t>
  </si>
  <si>
    <t>pos</t>
  </si>
  <si>
    <t>Kilpailija</t>
  </si>
  <si>
    <t>Nro</t>
  </si>
  <si>
    <t>X</t>
  </si>
  <si>
    <t>neg</t>
  </si>
  <si>
    <t>Kriteerit</t>
  </si>
  <si>
    <t>X-akseli:</t>
  </si>
  <si>
    <t>negatiivinen</t>
  </si>
  <si>
    <t>positiivinen</t>
  </si>
  <si>
    <t>Y-akseli:</t>
  </si>
  <si>
    <t>SWOT-analyysi</t>
  </si>
  <si>
    <t>Vahvuudet</t>
  </si>
  <si>
    <t>Heikkoudet</t>
  </si>
  <si>
    <t>Ravintolasta tulee liian  elitistinen; tavallinen kuluttaja vieroksuu  sitä</t>
  </si>
  <si>
    <t>Toteuttamisaikataulu</t>
  </si>
  <si>
    <t>H-2 kk</t>
  </si>
  <si>
    <t>H-1 kk</t>
  </si>
  <si>
    <t>H</t>
  </si>
  <si>
    <t>H+1 kk</t>
  </si>
  <si>
    <t>H+2 kk</t>
  </si>
  <si>
    <t>H+3 kk</t>
  </si>
  <si>
    <t>Liiketoiminnan kehittely</t>
  </si>
  <si>
    <t xml:space="preserve">Palkat </t>
  </si>
  <si>
    <t>Muut kiinteät kulut yht.</t>
  </si>
  <si>
    <t>Käyttötarvikekulut</t>
  </si>
  <si>
    <t>Puhtaanapitokulut</t>
  </si>
  <si>
    <t>Musiikki- ja viihdekulut</t>
  </si>
  <si>
    <t>Markkinointikulut</t>
  </si>
  <si>
    <t>Hallintokulut</t>
  </si>
  <si>
    <t>Energiakulut</t>
  </si>
  <si>
    <t>Vakuutukset</t>
  </si>
  <si>
    <t>Tietoliikennekulut</t>
  </si>
  <si>
    <t>Ravintolan sijainti kantakaupungissa varmistaa hyvän saavutettavuuden ja asiakasvirran.</t>
  </si>
  <si>
    <t>Ravintolan liiketoiminnan ostoon sitoutuu  suuri määrä rahaa.</t>
  </si>
  <si>
    <t>Henkilökunta toimii myynninedistämisen ja asiakasviihtyvyyden takuutekijänä; tasainen palvelu ja vahva, ammattimainen ote työhön.</t>
  </si>
  <si>
    <t>Alkoholin korkeat katteet sekä palvelukonseptin melko alhaiset henkilöstökulut takaavat riittävän kustannustehokkuuden</t>
  </si>
  <si>
    <t>Petteri Pennanen</t>
  </si>
  <si>
    <t>Snobistinen</t>
  </si>
  <si>
    <t>Lattarimainen, rento</t>
  </si>
  <si>
    <t>Rento, asiallinen</t>
  </si>
  <si>
    <t>Hiostava</t>
  </si>
  <si>
    <t>Välitön, kodikas</t>
  </si>
  <si>
    <t>C</t>
  </si>
  <si>
    <t>kahvila</t>
  </si>
  <si>
    <t xml:space="preserve">                </t>
  </si>
  <si>
    <t>4, Osa ravintolarypästä</t>
  </si>
  <si>
    <t>4, Runsas mainonta</t>
  </si>
  <si>
    <t>Voi sijoittaa pienen pääoman.</t>
  </si>
  <si>
    <t>2, Uusi tulokas, ei markkinoi</t>
  </si>
  <si>
    <t>3, Kanta-asiakaskunnalle</t>
  </si>
  <si>
    <t>Tasokas, hillitty</t>
  </si>
  <si>
    <t>Ravintola C9</t>
  </si>
  <si>
    <t>www.rc9.fi</t>
  </si>
  <si>
    <t>Chydeniuksenkatu 1, 00100 Helsinki</t>
  </si>
  <si>
    <t>RC9</t>
  </si>
  <si>
    <t>Tasokasta kalliilla</t>
  </si>
  <si>
    <t>Kaupungin paras drinkkibaari</t>
  </si>
  <si>
    <t>Hieman rähjäinen</t>
  </si>
  <si>
    <t>Suppea tarjonta</t>
  </si>
  <si>
    <t>Sijainti, eksklusiivisuus</t>
  </si>
  <si>
    <t>Lievä junttimaisuus</t>
  </si>
  <si>
    <t>Suppea kohderyhmä</t>
  </si>
  <si>
    <t>Hinnat</t>
  </si>
  <si>
    <t>Nuori asiakaskunta</t>
  </si>
  <si>
    <t>19-31, M&amp;N, kaikenlainen kantis</t>
  </si>
  <si>
    <t>Eteläamerikkalaiset tarjoilijat</t>
  </si>
  <si>
    <t>Suomen parhaat baarimestarit</t>
  </si>
  <si>
    <t>Vuosi-LV</t>
  </si>
  <si>
    <t>1000?</t>
  </si>
  <si>
    <t>yli 1500?</t>
  </si>
  <si>
    <t>yli 1200?</t>
  </si>
  <si>
    <t>600?</t>
  </si>
  <si>
    <t>800?</t>
  </si>
  <si>
    <t>itsepalvelu, pöytiintarjoilu</t>
  </si>
  <si>
    <t>Keskeinen sijainti, muut alueen ravintolat.</t>
  </si>
  <si>
    <t>Kaikenikäisiä asiakkaita. Ei tarvitse hävetä</t>
  </si>
  <si>
    <t>Perinteet, sijainti, maine</t>
  </si>
  <si>
    <t>Laadukkaat coctailit, Martinit, samppanja</t>
  </si>
  <si>
    <t>Cocktailit, kevyt musiikki</t>
  </si>
  <si>
    <t>Kevyt musiikki, olut ja viinat</t>
  </si>
  <si>
    <t>5 Esillä ja tunnettu. Paljon tapahtumamainontaa</t>
  </si>
  <si>
    <t>Ihmiset  arvostavat  laadukkaita tuotteita ja palveluita sekä käyttävät  enevässä määrin rahaa  ravintolapalveluihin.</t>
  </si>
  <si>
    <t>as.paikat</t>
  </si>
  <si>
    <t>asiakastila</t>
  </si>
  <si>
    <t>kokonais</t>
  </si>
  <si>
    <t>vuokra</t>
  </si>
  <si>
    <t>Hinta</t>
  </si>
  <si>
    <t>baari</t>
  </si>
  <si>
    <t>muu</t>
  </si>
  <si>
    <t>m2</t>
  </si>
  <si>
    <t>€ (ei alv)</t>
  </si>
  <si>
    <t>per m2</t>
  </si>
  <si>
    <t>Keskusta</t>
  </si>
  <si>
    <t>A</t>
  </si>
  <si>
    <t>juoma</t>
  </si>
  <si>
    <t>Liiketoimintasuunnitelman laadinta</t>
  </si>
  <si>
    <t>Tuotekehittely ja -testaus</t>
  </si>
  <si>
    <t>Rahoituksen järjestäminen</t>
  </si>
  <si>
    <t>Rakennustyöt</t>
  </si>
  <si>
    <t>Tarjouspyynnöt</t>
  </si>
  <si>
    <t>Tila- ja sisustussuunnittelu</t>
  </si>
  <si>
    <t>Yleisremontti</t>
  </si>
  <si>
    <t>Lattiaremontti</t>
  </si>
  <si>
    <t>LVI-remontti</t>
  </si>
  <si>
    <t>Sähkötyöt</t>
  </si>
  <si>
    <t>Baarin rakentaminen</t>
  </si>
  <si>
    <t>Kaappien ja koneiden asennus</t>
  </si>
  <si>
    <t>Asiakaskontaktien rakentaminen</t>
  </si>
  <si>
    <t>Markkinointikampanjan suunnittelu</t>
  </si>
  <si>
    <t>Markkinontikampanjan toteutus</t>
  </si>
  <si>
    <t>Markkinointimateriaalin painatus</t>
  </si>
  <si>
    <t>Koeavajaiset</t>
  </si>
  <si>
    <t>x</t>
  </si>
  <si>
    <t>Puoliboheemia, paljon nuorisoa, yksiöitä. Pieniä liikkeitä.</t>
  </si>
  <si>
    <t>Ravintola vakiinnuttaa asemansa kaupungin ravintolakartalla</t>
  </si>
  <si>
    <t>Muu</t>
  </si>
  <si>
    <t>Tuote 1</t>
  </si>
  <si>
    <t>Tuote 2</t>
  </si>
  <si>
    <t>Tuote 3</t>
  </si>
  <si>
    <t>olut, viski</t>
  </si>
  <si>
    <t>Tilastokeskus</t>
  </si>
  <si>
    <t>olut ja viski. Lattarirytmit</t>
  </si>
  <si>
    <t>Jalojuomat</t>
  </si>
  <si>
    <t>Keskeinen sijainti</t>
  </si>
  <si>
    <t>Juottamo</t>
  </si>
  <si>
    <t xml:space="preserve">35+, M&amp;N </t>
  </si>
  <si>
    <t xml:space="preserve">24-55, M&amp;N, kaupunkilainen, </t>
  </si>
  <si>
    <t>Single malt</t>
  </si>
  <si>
    <t>Juottamo</t>
  </si>
  <si>
    <t>Single malt</t>
  </si>
  <si>
    <t>Kiristyvä killpailu tiputtaa osan kilpailijoista, jolloin RC9:n asema markkinoilla paranee.</t>
  </si>
  <si>
    <t>Pääomantarve</t>
  </si>
  <si>
    <t xml:space="preserve">        </t>
  </si>
  <si>
    <t>Markkinointi ja myyntityö</t>
  </si>
  <si>
    <t>Ravintola-alan tuntemus</t>
  </si>
  <si>
    <t>Ei aikaa osallistua ravintolan päivittäistoimintaan.</t>
  </si>
  <si>
    <t>Aikomus työskennellä kokopäiväisesti ravintolassa. Jaksaa kellon ympäri</t>
  </si>
  <si>
    <t>Töölö</t>
  </si>
  <si>
    <t>Kamppi</t>
  </si>
  <si>
    <t>Ullanlinna</t>
  </si>
  <si>
    <t>Kluuvi</t>
  </si>
  <si>
    <t>Kohtuullisen hinnakasta</t>
  </si>
  <si>
    <t>Kaikenhintaista</t>
  </si>
  <si>
    <t>Kalliinpuoleista</t>
  </si>
  <si>
    <t>Paljon pieniä ravintoloita</t>
  </si>
  <si>
    <t>Vilkas kauttakulku</t>
  </si>
  <si>
    <t>Vähän asuntoja. Liiketilaa isossa mittakaavassa.</t>
  </si>
  <si>
    <t>Tiivistä mutta hyvät kulkuyhteydet</t>
  </si>
  <si>
    <t>Suhteellisen toimiva</t>
  </si>
  <si>
    <t>Ruuhkaista, mutta hyvät huoltoyhteydet</t>
  </si>
  <si>
    <t>Tasalyhenteiselle lainalle</t>
  </si>
  <si>
    <t>Kokonaismaksu</t>
  </si>
  <si>
    <t>Lainaa maksettu</t>
  </si>
  <si>
    <t>Korkoa maksettu</t>
  </si>
  <si>
    <t>Lainaa jäljellä</t>
  </si>
  <si>
    <t>Käyttökate miinus lainan kulut</t>
  </si>
  <si>
    <t xml:space="preserve">              </t>
  </si>
  <si>
    <t>Lainan kk-erä</t>
  </si>
  <si>
    <t>Kokonaiskorko</t>
  </si>
  <si>
    <t>Lainan kokonaishinta</t>
  </si>
  <si>
    <t>Informaation keruu</t>
  </si>
  <si>
    <t>Toimintaympäristön analyysi</t>
  </si>
  <si>
    <t>Suunnittelulaskelmat</t>
  </si>
  <si>
    <t xml:space="preserve">Tavoitultu henkilöstökulujen osuus liikevaihdosta (%) </t>
  </si>
  <si>
    <t>Oman pääoman osuus rahoituksessa on suuri; ravintola pystytetään omalle yhtiölle, joten taloudellinen päätäntävalta on ravintoloitsijalla</t>
  </si>
  <si>
    <t>Ravintolan liikeidea on vakaa ja perinteinen, eikä reagoi trendeissä tapahtuviin muutoksiin.</t>
  </si>
  <si>
    <t xml:space="preserve">         </t>
  </si>
  <si>
    <t xml:space="preserve">     </t>
  </si>
  <si>
    <t>Hot Shot</t>
  </si>
  <si>
    <t>Dancepalatsi</t>
  </si>
  <si>
    <t>Cuba Palace</t>
  </si>
  <si>
    <t>High &amp; dry</t>
  </si>
  <si>
    <t>Rucola Bar</t>
  </si>
  <si>
    <t>Teenhell</t>
  </si>
  <si>
    <t>Cannes</t>
  </si>
  <si>
    <t>Booze Academy</t>
  </si>
  <si>
    <t>Väiskin Baari</t>
  </si>
  <si>
    <t>Herkkunurkka</t>
  </si>
  <si>
    <t>Ravintola Eines</t>
  </si>
  <si>
    <t>Café Arabica</t>
  </si>
  <si>
    <t>Viini-valinta</t>
  </si>
  <si>
    <t>Ravintola Äyräpää</t>
  </si>
  <si>
    <t>Pizzamesta</t>
  </si>
  <si>
    <t>Kulma Baari</t>
  </si>
  <si>
    <t>B</t>
  </si>
  <si>
    <t>Sijoittaa varoja yhtiöön.</t>
  </si>
  <si>
    <t xml:space="preserve"> </t>
  </si>
  <si>
    <t>3, Keikkoja. On tunnettu, perinteinen</t>
  </si>
</sst>
</file>

<file path=xl/styles.xml><?xml version="1.0" encoding="utf-8"?>
<styleSheet xmlns="http://schemas.openxmlformats.org/spreadsheetml/2006/main">
  <numFmts count="3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mk&quot;;\-#,##0&quot; mk&quot;"/>
    <numFmt numFmtId="165" formatCode="#,##0&quot; mk&quot;;[Red]\-#,##0&quot; mk&quot;"/>
    <numFmt numFmtId="166" formatCode="#,##0.00&quot; mk&quot;;\-#,##0.00&quot; mk&quot;"/>
    <numFmt numFmtId="167" formatCode="#,##0.00&quot; mk&quot;;[Red]\-#,##0.00&quot; mk&quot;"/>
    <numFmt numFmtId="168" formatCode="_-* #,##0&quot; mk&quot;_-;\-* #,##0&quot; mk&quot;_-;_-* &quot;-&quot;&quot; mk&quot;_-;_-@_-"/>
    <numFmt numFmtId="169" formatCode="_-* #,##0_ _m_k_-;\-* #,##0_ _m_k_-;_-* &quot;-&quot;_ _m_k_-;_-@_-"/>
    <numFmt numFmtId="170" formatCode="_-* #,##0.00&quot; mk&quot;_-;\-* #,##0.00&quot; mk&quot;_-;_-* &quot;-&quot;??&quot; mk&quot;_-;_-@_-"/>
    <numFmt numFmtId="171" formatCode="_-* #,##0.00_ _m_k_-;\-* #,##0.00_ _m_k_-;_-* &quot;-&quot;??_ _m_k_-;_-@_-"/>
    <numFmt numFmtId="172" formatCode="0.0"/>
    <numFmt numFmtId="173" formatCode="0.0000"/>
    <numFmt numFmtId="174" formatCode="0.000"/>
    <numFmt numFmtId="175" formatCode="0.000000"/>
    <numFmt numFmtId="176" formatCode="0.0000000"/>
    <numFmt numFmtId="177" formatCode="0.00000"/>
    <numFmt numFmtId="178" formatCode="0.00000000"/>
    <numFmt numFmtId="179" formatCode="_ * #,##0.00_ \ [$€-1]_ ;_ * \-#,##0.00\ \ [$€-1]_ ;_ * &quot;-&quot;??_ \ [$€-1]_ ;_ @_ "/>
    <numFmt numFmtId="180" formatCode="_ * #,##0.0_ \ [$€-1]_ ;_ * \-#,##0.0\ \ [$€-1]_ ;_ * &quot;-&quot;??_ \ [$€-1]_ ;_ @_ "/>
    <numFmt numFmtId="181" formatCode="_ * #,##0_ \ [$€-1]_ ;_ * \-#,##0\ \ [$€-1]_ ;_ * &quot;-&quot;??_ \ [$€-1]_ ;_ @_ "/>
    <numFmt numFmtId="182" formatCode="#,##0\ [$€-1];[Red]\-#,##0\ [$€-1]"/>
    <numFmt numFmtId="183" formatCode="0\ %"/>
    <numFmt numFmtId="184" formatCode="General"/>
    <numFmt numFmtId="185" formatCode="0.00"/>
  </numFmts>
  <fonts count="43">
    <font>
      <sz val="10"/>
      <name val="Gill Sans Light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GillSans Light"/>
      <family val="0"/>
    </font>
    <font>
      <sz val="9"/>
      <name val="Gill Sans Light"/>
      <family val="0"/>
    </font>
    <font>
      <b/>
      <sz val="9"/>
      <name val="Gill Sans Light"/>
      <family val="0"/>
    </font>
    <font>
      <i/>
      <sz val="9"/>
      <name val="Gill Sans Light"/>
      <family val="0"/>
    </font>
    <font>
      <sz val="8"/>
      <name val="Gill Sans Light"/>
      <family val="0"/>
    </font>
    <font>
      <b/>
      <i/>
      <sz val="9"/>
      <name val="Gill Sans Light"/>
      <family val="0"/>
    </font>
    <font>
      <sz val="12"/>
      <name val="Gill Sans Light"/>
      <family val="0"/>
    </font>
    <font>
      <b/>
      <sz val="12"/>
      <name val="Gill Sans Light"/>
      <family val="0"/>
    </font>
    <font>
      <b/>
      <i/>
      <sz val="11"/>
      <name val="Gill Sans Light"/>
      <family val="0"/>
    </font>
    <font>
      <sz val="11"/>
      <name val="Gill Sans Light"/>
      <family val="0"/>
    </font>
    <font>
      <i/>
      <sz val="11"/>
      <name val="Gill Sans Light"/>
      <family val="0"/>
    </font>
    <font>
      <b/>
      <i/>
      <sz val="10"/>
      <name val="Gill Sans Light"/>
      <family val="0"/>
    </font>
    <font>
      <i/>
      <sz val="12"/>
      <name val="Gill Sans Light"/>
      <family val="0"/>
    </font>
    <font>
      <b/>
      <i/>
      <sz val="12"/>
      <name val="Gill Sans Light"/>
      <family val="0"/>
    </font>
    <font>
      <i/>
      <sz val="10"/>
      <name val="Gill Sans Light"/>
      <family val="0"/>
    </font>
    <font>
      <b/>
      <i/>
      <u val="single"/>
      <sz val="10"/>
      <name val="Gill Sans Light"/>
      <family val="0"/>
    </font>
    <font>
      <b/>
      <i/>
      <u val="single"/>
      <sz val="14"/>
      <name val="Gill Sans Light"/>
      <family val="0"/>
    </font>
    <font>
      <b/>
      <i/>
      <sz val="14"/>
      <name val="Gill Sans Light"/>
      <family val="0"/>
    </font>
    <font>
      <b/>
      <sz val="10"/>
      <name val="Gill Sans Light"/>
      <family val="0"/>
    </font>
    <font>
      <sz val="8"/>
      <color indexed="8"/>
      <name val="Verdana"/>
      <family val="0"/>
    </font>
    <font>
      <b/>
      <sz val="9.75"/>
      <color indexed="8"/>
      <name val="Verdana"/>
      <family val="0"/>
    </font>
    <font>
      <sz val="9.2"/>
      <color indexed="8"/>
      <name val="Verdana"/>
      <family val="0"/>
    </font>
    <font>
      <b/>
      <sz val="8"/>
      <color indexed="8"/>
      <name val="Verdana"/>
      <family val="0"/>
    </font>
    <font>
      <b/>
      <sz val="9.25"/>
      <color indexed="8"/>
      <name val="Verdana"/>
      <family val="0"/>
    </font>
    <font>
      <sz val="10"/>
      <name val="Copperplate Light"/>
      <family val="0"/>
    </font>
    <font>
      <b/>
      <sz val="9"/>
      <name val="Geneva"/>
      <family val="0"/>
    </font>
    <font>
      <sz val="10"/>
      <color indexed="43"/>
      <name val="Gill Sans Light"/>
      <family val="0"/>
    </font>
    <font>
      <sz val="10"/>
      <color indexed="8"/>
      <name val="Gill Sans Light"/>
      <family val="0"/>
    </font>
    <font>
      <b/>
      <sz val="11"/>
      <name val="Gill Sans Light"/>
      <family val="0"/>
    </font>
    <font>
      <b/>
      <sz val="14"/>
      <name val="Gill Sans Light"/>
      <family val="0"/>
    </font>
    <font>
      <b/>
      <i/>
      <u val="single"/>
      <sz val="9"/>
      <name val="Gill Sans Light"/>
      <family val="0"/>
    </font>
    <font>
      <b/>
      <sz val="8"/>
      <name val="Gill Sans Light"/>
      <family val="0"/>
    </font>
    <font>
      <b/>
      <i/>
      <sz val="8"/>
      <name val="Gill Sans Light"/>
      <family val="0"/>
    </font>
    <font>
      <sz val="8"/>
      <name val="Verdana"/>
      <family val="0"/>
    </font>
    <font>
      <i/>
      <sz val="7"/>
      <name val="Verdana"/>
      <family val="0"/>
    </font>
    <font>
      <b/>
      <sz val="10"/>
      <color indexed="8"/>
      <name val="Gill Sans Light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/>
    </xf>
    <xf numFmtId="1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 vertical="top"/>
    </xf>
    <xf numFmtId="0" fontId="13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5" xfId="0" applyFont="1" applyBorder="1" applyAlignment="1">
      <alignment/>
    </xf>
    <xf numFmtId="0" fontId="20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20" fillId="0" borderId="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0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" fontId="25" fillId="0" borderId="19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72" fontId="25" fillId="0" borderId="20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172" fontId="18" fillId="0" borderId="2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72" fontId="18" fillId="0" borderId="2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5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6" xfId="0" applyFont="1" applyBorder="1" applyAlignment="1">
      <alignment/>
    </xf>
    <xf numFmtId="1" fontId="11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1" fillId="0" borderId="4" xfId="0" applyFont="1" applyBorder="1" applyAlignment="1">
      <alignment/>
    </xf>
    <xf numFmtId="181" fontId="21" fillId="0" borderId="6" xfId="0" applyNumberFormat="1" applyFont="1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26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0" xfId="0" applyFont="1" applyAlignment="1">
      <alignment horizontal="left"/>
    </xf>
    <xf numFmtId="172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181" fontId="0" fillId="0" borderId="4" xfId="0" applyNumberFormat="1" applyFont="1" applyBorder="1" applyAlignment="1">
      <alignment/>
    </xf>
    <xf numFmtId="0" fontId="25" fillId="0" borderId="26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21" fillId="0" borderId="1" xfId="0" applyFont="1" applyBorder="1" applyAlignment="1">
      <alignment/>
    </xf>
    <xf numFmtId="179" fontId="0" fillId="0" borderId="6" xfId="0" applyNumberFormat="1" applyFont="1" applyBorder="1" applyAlignment="1">
      <alignment/>
    </xf>
    <xf numFmtId="0" fontId="18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9" fontId="0" fillId="0" borderId="29" xfId="0" applyNumberFormat="1" applyFont="1" applyBorder="1" applyAlignment="1">
      <alignment/>
    </xf>
    <xf numFmtId="0" fontId="17" fillId="0" borderId="3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31" fillId="0" borderId="0" xfId="0" applyFont="1" applyAlignment="1">
      <alignment/>
    </xf>
    <xf numFmtId="0" fontId="0" fillId="0" borderId="26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181" fontId="21" fillId="0" borderId="1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9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9" fillId="0" borderId="2" xfId="0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5" xfId="20" applyFont="1" applyBorder="1" applyAlignment="1">
      <alignment/>
    </xf>
    <xf numFmtId="9" fontId="0" fillId="0" borderId="5" xfId="20" applyFont="1" applyBorder="1" applyAlignment="1">
      <alignment horizontal="center"/>
    </xf>
    <xf numFmtId="0" fontId="31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81" fontId="0" fillId="2" borderId="1" xfId="0" applyNumberFormat="1" applyFont="1" applyFill="1" applyBorder="1" applyAlignment="1">
      <alignment horizontal="left"/>
    </xf>
    <xf numFmtId="181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/>
    </xf>
    <xf numFmtId="181" fontId="0" fillId="2" borderId="1" xfId="0" applyNumberFormat="1" applyFont="1" applyFill="1" applyBorder="1" applyAlignment="1">
      <alignment horizontal="left"/>
    </xf>
    <xf numFmtId="0" fontId="15" fillId="2" borderId="32" xfId="0" applyFont="1" applyFill="1" applyBorder="1" applyAlignment="1">
      <alignment horizontal="right"/>
    </xf>
    <xf numFmtId="0" fontId="15" fillId="2" borderId="33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2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72" fontId="21" fillId="0" borderId="2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172" fontId="21" fillId="0" borderId="23" xfId="0" applyNumberFormat="1" applyFont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172" fontId="21" fillId="2" borderId="20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25" fillId="2" borderId="43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19" fillId="0" borderId="44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4" fontId="0" fillId="2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2" fontId="0" fillId="0" borderId="20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9" fillId="0" borderId="4" xfId="0" applyNumberFormat="1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right"/>
    </xf>
    <xf numFmtId="0" fontId="19" fillId="2" borderId="14" xfId="0" applyFont="1" applyFill="1" applyBorder="1" applyAlignment="1">
      <alignment horizontal="center"/>
    </xf>
    <xf numFmtId="0" fontId="17" fillId="0" borderId="36" xfId="0" applyFont="1" applyBorder="1" applyAlignment="1">
      <alignment/>
    </xf>
    <xf numFmtId="0" fontId="17" fillId="0" borderId="43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35" fillId="0" borderId="45" xfId="0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2" borderId="1" xfId="0" applyFont="1" applyFill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181" fontId="16" fillId="0" borderId="1" xfId="0" applyNumberFormat="1" applyFont="1" applyBorder="1" applyAlignment="1">
      <alignment horizontal="center"/>
    </xf>
    <xf numFmtId="181" fontId="15" fillId="0" borderId="1" xfId="0" applyNumberFormat="1" applyFont="1" applyBorder="1" applyAlignment="1">
      <alignment horizontal="center"/>
    </xf>
    <xf numFmtId="16" fontId="16" fillId="0" borderId="19" xfId="0" applyNumberFormat="1" applyFont="1" applyBorder="1" applyAlignment="1">
      <alignment/>
    </xf>
    <xf numFmtId="179" fontId="16" fillId="0" borderId="0" xfId="0" applyNumberFormat="1" applyFont="1" applyBorder="1" applyAlignment="1">
      <alignment/>
    </xf>
    <xf numFmtId="16" fontId="17" fillId="0" borderId="47" xfId="0" applyNumberFormat="1" applyFont="1" applyBorder="1" applyAlignment="1">
      <alignment/>
    </xf>
    <xf numFmtId="0" fontId="17" fillId="0" borderId="44" xfId="0" applyFont="1" applyBorder="1" applyAlignment="1">
      <alignment horizontal="center"/>
    </xf>
    <xf numFmtId="2" fontId="17" fillId="0" borderId="35" xfId="0" applyNumberFormat="1" applyFont="1" applyBorder="1" applyAlignment="1">
      <alignment horizontal="center"/>
    </xf>
    <xf numFmtId="16" fontId="16" fillId="0" borderId="7" xfId="0" applyNumberFormat="1" applyFont="1" applyBorder="1" applyAlignment="1">
      <alignment/>
    </xf>
    <xf numFmtId="2" fontId="16" fillId="0" borderId="3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81" fontId="21" fillId="0" borderId="1" xfId="0" applyNumberFormat="1" applyFont="1" applyBorder="1" applyAlignment="1">
      <alignment horizontal="center"/>
    </xf>
    <xf numFmtId="179" fontId="21" fillId="0" borderId="1" xfId="0" applyNumberFormat="1" applyFont="1" applyFill="1" applyBorder="1" applyAlignment="1">
      <alignment horizontal="center"/>
    </xf>
    <xf numFmtId="179" fontId="0" fillId="2" borderId="1" xfId="0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81" fontId="0" fillId="0" borderId="0" xfId="0" applyNumberFormat="1" applyFont="1" applyAlignment="1">
      <alignment/>
    </xf>
    <xf numFmtId="181" fontId="18" fillId="0" borderId="0" xfId="0" applyNumberFormat="1" applyFont="1" applyFill="1" applyBorder="1" applyAlignment="1">
      <alignment horizontal="center"/>
    </xf>
    <xf numFmtId="181" fontId="18" fillId="0" borderId="1" xfId="0" applyNumberFormat="1" applyFont="1" applyFill="1" applyBorder="1" applyAlignment="1">
      <alignment horizontal="center"/>
    </xf>
    <xf numFmtId="18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181" fontId="21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17" fillId="0" borderId="43" xfId="0" applyFont="1" applyBorder="1" applyAlignment="1">
      <alignment/>
    </xf>
    <xf numFmtId="0" fontId="16" fillId="0" borderId="1" xfId="0" applyFont="1" applyBorder="1" applyAlignment="1">
      <alignment horizontal="right"/>
    </xf>
    <xf numFmtId="2" fontId="19" fillId="0" borderId="15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79" fontId="35" fillId="0" borderId="6" xfId="0" applyNumberFormat="1" applyFont="1" applyBorder="1" applyAlignment="1">
      <alignment horizontal="center"/>
    </xf>
    <xf numFmtId="0" fontId="36" fillId="0" borderId="0" xfId="0" applyFont="1" applyAlignment="1">
      <alignment horizontal="right"/>
    </xf>
    <xf numFmtId="0" fontId="11" fillId="0" borderId="0" xfId="17" applyFont="1">
      <alignment/>
      <protection/>
    </xf>
    <xf numFmtId="0" fontId="24" fillId="0" borderId="0" xfId="17" applyFont="1">
      <alignment/>
      <protection/>
    </xf>
    <xf numFmtId="0" fontId="4" fillId="0" borderId="0" xfId="17">
      <alignment/>
      <protection/>
    </xf>
    <xf numFmtId="0" fontId="4" fillId="0" borderId="0" xfId="17" applyFont="1">
      <alignment/>
      <protection/>
    </xf>
    <xf numFmtId="0" fontId="25" fillId="3" borderId="1" xfId="17" applyFont="1" applyFill="1" applyBorder="1" applyAlignment="1">
      <alignment horizontal="right" vertical="top" wrapText="1"/>
      <protection/>
    </xf>
    <xf numFmtId="0" fontId="11" fillId="2" borderId="36" xfId="17" applyFont="1" applyFill="1" applyBorder="1">
      <alignment/>
      <protection/>
    </xf>
    <xf numFmtId="0" fontId="0" fillId="0" borderId="0" xfId="17" applyFont="1">
      <alignment/>
      <protection/>
    </xf>
    <xf numFmtId="0" fontId="37" fillId="0" borderId="2" xfId="17" applyFont="1" applyBorder="1">
      <alignment/>
      <protection/>
    </xf>
    <xf numFmtId="0" fontId="8" fillId="0" borderId="2" xfId="17" applyFont="1" applyBorder="1">
      <alignment/>
      <protection/>
    </xf>
    <xf numFmtId="0" fontId="8" fillId="0" borderId="0" xfId="17" applyFont="1">
      <alignment/>
      <protection/>
    </xf>
    <xf numFmtId="0" fontId="9" fillId="3" borderId="12" xfId="17" applyFont="1" applyFill="1" applyBorder="1" applyAlignment="1">
      <alignment horizontal="center"/>
      <protection/>
    </xf>
    <xf numFmtId="0" fontId="9" fillId="3" borderId="48" xfId="17" applyFont="1" applyFill="1" applyBorder="1" applyAlignment="1">
      <alignment horizontal="center"/>
      <protection/>
    </xf>
    <xf numFmtId="0" fontId="12" fillId="3" borderId="48" xfId="17" applyFont="1" applyFill="1" applyBorder="1" applyAlignment="1">
      <alignment horizontal="center"/>
      <protection/>
    </xf>
    <xf numFmtId="0" fontId="11" fillId="2" borderId="36" xfId="17" applyFont="1" applyFill="1" applyBorder="1" applyAlignment="1">
      <alignment horizontal="center"/>
      <protection/>
    </xf>
    <xf numFmtId="172" fontId="11" fillId="0" borderId="36" xfId="17" applyNumberFormat="1" applyFont="1" applyBorder="1" applyAlignment="1">
      <alignment horizontal="center"/>
      <protection/>
    </xf>
    <xf numFmtId="0" fontId="39" fillId="3" borderId="12" xfId="17" applyFont="1" applyFill="1" applyBorder="1" applyAlignment="1">
      <alignment horizontal="center"/>
      <protection/>
    </xf>
    <xf numFmtId="0" fontId="38" fillId="3" borderId="12" xfId="17" applyFont="1" applyFill="1" applyBorder="1" applyAlignment="1">
      <alignment horizontal="center"/>
      <protection/>
    </xf>
    <xf numFmtId="0" fontId="38" fillId="3" borderId="12" xfId="17" applyFont="1" applyFill="1" applyBorder="1" applyAlignment="1">
      <alignment horizontal="center" wrapText="1"/>
      <protection/>
    </xf>
    <xf numFmtId="0" fontId="38" fillId="3" borderId="1" xfId="17" applyFont="1" applyFill="1" applyBorder="1" applyAlignment="1">
      <alignment horizontal="center"/>
      <protection/>
    </xf>
    <xf numFmtId="16" fontId="39" fillId="3" borderId="12" xfId="17" applyNumberFormat="1" applyFont="1" applyFill="1" applyBorder="1" applyAlignment="1">
      <alignment horizontal="center"/>
      <protection/>
    </xf>
    <xf numFmtId="182" fontId="39" fillId="3" borderId="1" xfId="17" applyNumberFormat="1" applyFont="1" applyFill="1" applyBorder="1" applyAlignment="1">
      <alignment horizontal="center"/>
      <protection/>
    </xf>
    <xf numFmtId="0" fontId="39" fillId="3" borderId="1" xfId="17" applyFont="1" applyFill="1" applyBorder="1" applyAlignment="1">
      <alignment horizontal="center"/>
      <protection/>
    </xf>
    <xf numFmtId="0" fontId="38" fillId="3" borderId="1" xfId="17" applyFont="1" applyFill="1" applyBorder="1" applyAlignment="1">
      <alignment horizontal="right" vertical="top" wrapText="1"/>
      <protection/>
    </xf>
    <xf numFmtId="0" fontId="4" fillId="0" borderId="0" xfId="17" applyBorder="1">
      <alignment/>
      <protection/>
    </xf>
    <xf numFmtId="0" fontId="41" fillId="0" borderId="0" xfId="17" applyFont="1" applyBorder="1">
      <alignment/>
      <protection/>
    </xf>
    <xf numFmtId="0" fontId="2" fillId="0" borderId="0" xfId="17" applyFont="1">
      <alignment/>
      <protection/>
    </xf>
    <xf numFmtId="0" fontId="4" fillId="0" borderId="49" xfId="17" applyBorder="1">
      <alignment/>
      <protection/>
    </xf>
    <xf numFmtId="0" fontId="4" fillId="2" borderId="1" xfId="17" applyFill="1" applyBorder="1" applyAlignment="1">
      <alignment horizontal="center"/>
      <protection/>
    </xf>
    <xf numFmtId="0" fontId="4" fillId="2" borderId="4" xfId="17" applyFill="1" applyBorder="1" applyAlignment="1">
      <alignment horizontal="center"/>
      <protection/>
    </xf>
    <xf numFmtId="0" fontId="4" fillId="0" borderId="50" xfId="17" applyBorder="1" applyAlignment="1">
      <alignment horizontal="center"/>
      <protection/>
    </xf>
    <xf numFmtId="0" fontId="4" fillId="2" borderId="6" xfId="17" applyFill="1" applyBorder="1" applyAlignment="1">
      <alignment horizontal="center"/>
      <protection/>
    </xf>
    <xf numFmtId="0" fontId="4" fillId="2" borderId="1" xfId="17" applyFill="1" applyBorder="1">
      <alignment/>
      <protection/>
    </xf>
    <xf numFmtId="0" fontId="4" fillId="0" borderId="0" xfId="17" applyAlignment="1">
      <alignment horizontal="center"/>
      <protection/>
    </xf>
    <xf numFmtId="0" fontId="4" fillId="2" borderId="12" xfId="17" applyFill="1" applyBorder="1" applyAlignment="1">
      <alignment horizontal="center"/>
      <protection/>
    </xf>
    <xf numFmtId="0" fontId="4" fillId="2" borderId="51" xfId="17" applyFill="1" applyBorder="1" applyAlignment="1">
      <alignment horizontal="center"/>
      <protection/>
    </xf>
    <xf numFmtId="0" fontId="4" fillId="2" borderId="52" xfId="17" applyFill="1" applyBorder="1" applyAlignment="1">
      <alignment horizontal="center"/>
      <protection/>
    </xf>
    <xf numFmtId="0" fontId="4" fillId="0" borderId="27" xfId="17" applyBorder="1">
      <alignment/>
      <protection/>
    </xf>
    <xf numFmtId="0" fontId="4" fillId="0" borderId="28" xfId="17" applyBorder="1" applyAlignment="1">
      <alignment horizontal="center"/>
      <protection/>
    </xf>
    <xf numFmtId="0" fontId="4" fillId="0" borderId="53" xfId="17" applyBorder="1" applyAlignment="1">
      <alignment horizontal="center"/>
      <protection/>
    </xf>
    <xf numFmtId="0" fontId="4" fillId="0" borderId="29" xfId="17" applyBorder="1">
      <alignment/>
      <protection/>
    </xf>
    <xf numFmtId="0" fontId="4" fillId="2" borderId="36" xfId="17" applyFill="1" applyBorder="1" applyAlignment="1">
      <alignment horizontal="center"/>
      <protection/>
    </xf>
    <xf numFmtId="0" fontId="4" fillId="2" borderId="43" xfId="17" applyFill="1" applyBorder="1" applyAlignment="1">
      <alignment horizontal="center"/>
      <protection/>
    </xf>
    <xf numFmtId="0" fontId="4" fillId="2" borderId="26" xfId="17" applyFill="1" applyBorder="1" applyAlignment="1">
      <alignment horizontal="center"/>
      <protection/>
    </xf>
    <xf numFmtId="0" fontId="4" fillId="2" borderId="6" xfId="17" applyFill="1" applyBorder="1">
      <alignment/>
      <protection/>
    </xf>
    <xf numFmtId="0" fontId="4" fillId="0" borderId="54" xfId="17" applyBorder="1">
      <alignment/>
      <protection/>
    </xf>
    <xf numFmtId="0" fontId="25" fillId="3" borderId="55" xfId="17" applyFont="1" applyFill="1" applyBorder="1" applyAlignment="1">
      <alignment horizontal="center"/>
      <protection/>
    </xf>
    <xf numFmtId="0" fontId="25" fillId="3" borderId="49" xfId="17" applyFont="1" applyFill="1" applyBorder="1" applyAlignment="1">
      <alignment horizontal="center" wrapText="1"/>
      <protection/>
    </xf>
    <xf numFmtId="0" fontId="13" fillId="0" borderId="0" xfId="17" applyFont="1">
      <alignment/>
      <protection/>
    </xf>
    <xf numFmtId="0" fontId="0" fillId="0" borderId="0" xfId="17" applyFont="1" applyAlignment="1">
      <alignment horizontal="right" vertical="center"/>
      <protection/>
    </xf>
    <xf numFmtId="0" fontId="11" fillId="3" borderId="55" xfId="17" applyFont="1" applyFill="1" applyBorder="1" applyAlignment="1">
      <alignment vertical="center"/>
      <protection/>
    </xf>
    <xf numFmtId="0" fontId="10" fillId="0" borderId="0" xfId="17" applyFont="1" applyAlignment="1">
      <alignment horizontal="right" vertical="center"/>
      <protection/>
    </xf>
    <xf numFmtId="0" fontId="11" fillId="3" borderId="56" xfId="17" applyFont="1" applyFill="1" applyBorder="1" applyAlignment="1">
      <alignment horizontal="center" vertical="center"/>
      <protection/>
    </xf>
    <xf numFmtId="0" fontId="8" fillId="0" borderId="0" xfId="17" applyFont="1" applyAlignment="1">
      <alignment horizontal="right" vertical="center"/>
      <protection/>
    </xf>
    <xf numFmtId="0" fontId="11" fillId="4" borderId="19" xfId="17" applyFont="1" applyFill="1" applyBorder="1" applyAlignment="1">
      <alignment horizontal="center" vertical="center"/>
      <protection/>
    </xf>
    <xf numFmtId="0" fontId="11" fillId="4" borderId="1" xfId="17" applyFont="1" applyFill="1" applyBorder="1" applyAlignment="1">
      <alignment horizontal="center" vertical="center"/>
      <protection/>
    </xf>
    <xf numFmtId="0" fontId="11" fillId="4" borderId="20" xfId="17" applyFont="1" applyFill="1" applyBorder="1" applyAlignment="1">
      <alignment horizontal="center" vertical="center"/>
      <protection/>
    </xf>
    <xf numFmtId="0" fontId="11" fillId="4" borderId="6" xfId="17" applyFont="1" applyFill="1" applyBorder="1" applyAlignment="1">
      <alignment horizontal="center" vertical="center"/>
      <protection/>
    </xf>
    <xf numFmtId="0" fontId="11" fillId="4" borderId="57" xfId="17" applyFont="1" applyFill="1" applyBorder="1" applyAlignment="1">
      <alignment horizontal="center" vertical="center"/>
      <protection/>
    </xf>
    <xf numFmtId="0" fontId="11" fillId="4" borderId="56" xfId="17" applyFont="1" applyFill="1" applyBorder="1" applyAlignment="1">
      <alignment horizontal="center" vertical="center"/>
      <protection/>
    </xf>
    <xf numFmtId="0" fontId="11" fillId="4" borderId="58" xfId="17" applyFont="1" applyFill="1" applyBorder="1" applyAlignment="1">
      <alignment horizontal="center" vertical="center"/>
      <protection/>
    </xf>
    <xf numFmtId="0" fontId="11" fillId="4" borderId="59" xfId="17" applyFont="1" applyFill="1" applyBorder="1" applyAlignment="1">
      <alignment horizontal="center" vertical="center"/>
      <protection/>
    </xf>
    <xf numFmtId="0" fontId="11" fillId="3" borderId="60" xfId="17" applyFont="1" applyFill="1" applyBorder="1" applyAlignment="1">
      <alignment horizontal="center" vertical="center"/>
      <protection/>
    </xf>
    <xf numFmtId="0" fontId="11" fillId="3" borderId="61" xfId="17" applyFont="1" applyFill="1" applyBorder="1" applyAlignment="1">
      <alignment horizontal="center" vertical="center"/>
      <protection/>
    </xf>
    <xf numFmtId="0" fontId="11" fillId="4" borderId="4" xfId="17" applyFont="1" applyFill="1" applyBorder="1" applyAlignment="1">
      <alignment horizontal="center" vertical="center"/>
      <protection/>
    </xf>
    <xf numFmtId="0" fontId="11" fillId="4" borderId="62" xfId="17" applyFont="1" applyFill="1" applyBorder="1" applyAlignment="1">
      <alignment horizontal="center" vertical="center"/>
      <protection/>
    </xf>
    <xf numFmtId="0" fontId="11" fillId="4" borderId="63" xfId="17" applyFont="1" applyFill="1" applyBorder="1" applyAlignment="1">
      <alignment horizontal="center" vertical="center"/>
      <protection/>
    </xf>
    <xf numFmtId="0" fontId="11" fillId="4" borderId="64" xfId="17" applyFont="1" applyFill="1" applyBorder="1" applyAlignment="1">
      <alignment horizontal="center" vertical="center"/>
      <protection/>
    </xf>
    <xf numFmtId="0" fontId="11" fillId="4" borderId="20" xfId="17" applyFont="1" applyFill="1" applyBorder="1" applyAlignment="1">
      <alignment vertical="center"/>
      <protection/>
    </xf>
    <xf numFmtId="0" fontId="11" fillId="4" borderId="56" xfId="17" applyFont="1" applyFill="1" applyBorder="1" applyAlignment="1">
      <alignment vertical="center"/>
      <protection/>
    </xf>
    <xf numFmtId="0" fontId="11" fillId="4" borderId="6" xfId="17" applyFont="1" applyFill="1" applyBorder="1" applyAlignment="1">
      <alignment vertical="center"/>
      <protection/>
    </xf>
    <xf numFmtId="0" fontId="11" fillId="4" borderId="65" xfId="17" applyFont="1" applyFill="1" applyBorder="1" applyAlignment="1">
      <alignment vertical="center"/>
      <protection/>
    </xf>
    <xf numFmtId="0" fontId="11" fillId="4" borderId="66" xfId="17" applyFont="1" applyFill="1" applyBorder="1" applyAlignment="1">
      <alignment vertical="center"/>
      <protection/>
    </xf>
    <xf numFmtId="0" fontId="11" fillId="4" borderId="67" xfId="17" applyFont="1" applyFill="1" applyBorder="1" applyAlignment="1">
      <alignment vertical="center"/>
      <protection/>
    </xf>
    <xf numFmtId="0" fontId="11" fillId="4" borderId="68" xfId="17" applyFont="1" applyFill="1" applyBorder="1" applyAlignment="1">
      <alignment vertical="center"/>
      <protection/>
    </xf>
    <xf numFmtId="179" fontId="34" fillId="2" borderId="1" xfId="0" applyNumberFormat="1" applyFont="1" applyFill="1" applyBorder="1" applyAlignment="1">
      <alignment/>
    </xf>
    <xf numFmtId="179" fontId="34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179" fontId="34" fillId="0" borderId="1" xfId="0" applyNumberFormat="1" applyFont="1" applyFill="1" applyBorder="1" applyAlignment="1">
      <alignment/>
    </xf>
    <xf numFmtId="179" fontId="34" fillId="0" borderId="1" xfId="0" applyNumberFormat="1" applyFont="1" applyBorder="1" applyAlignment="1">
      <alignment/>
    </xf>
    <xf numFmtId="179" fontId="34" fillId="0" borderId="6" xfId="0" applyNumberFormat="1" applyFont="1" applyBorder="1" applyAlignment="1">
      <alignment/>
    </xf>
    <xf numFmtId="179" fontId="34" fillId="0" borderId="0" xfId="0" applyNumberFormat="1" applyFont="1" applyBorder="1" applyAlignment="1">
      <alignment/>
    </xf>
    <xf numFmtId="0" fontId="9" fillId="3" borderId="1" xfId="17" applyFont="1" applyFill="1" applyBorder="1" applyAlignment="1">
      <alignment horizontal="right" vertical="center" wrapText="1"/>
      <protection/>
    </xf>
    <xf numFmtId="1" fontId="11" fillId="0" borderId="36" xfId="17" applyNumberFormat="1" applyFont="1" applyBorder="1" applyAlignment="1">
      <alignment horizontal="center"/>
      <protection/>
    </xf>
    <xf numFmtId="16" fontId="12" fillId="3" borderId="69" xfId="17" applyNumberFormat="1" applyFont="1" applyFill="1" applyBorder="1" applyAlignment="1">
      <alignment horizontal="center"/>
      <protection/>
    </xf>
    <xf numFmtId="0" fontId="18" fillId="3" borderId="16" xfId="17" applyFont="1" applyFill="1" applyBorder="1" applyAlignment="1">
      <alignment horizontal="center"/>
      <protection/>
    </xf>
    <xf numFmtId="0" fontId="12" fillId="3" borderId="69" xfId="17" applyFont="1" applyFill="1" applyBorder="1" applyAlignment="1">
      <alignment horizontal="center"/>
      <protection/>
    </xf>
    <xf numFmtId="0" fontId="4" fillId="2" borderId="1" xfId="17" applyFont="1" applyFill="1" applyBorder="1">
      <alignment/>
      <protection/>
    </xf>
    <xf numFmtId="0" fontId="4" fillId="2" borderId="4" xfId="1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172" fontId="21" fillId="0" borderId="4" xfId="0" applyNumberFormat="1" applyFont="1" applyBorder="1" applyAlignment="1">
      <alignment/>
    </xf>
    <xf numFmtId="0" fontId="2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5" fillId="0" borderId="2" xfId="0" applyFont="1" applyBorder="1" applyAlignment="1">
      <alignment horizontal="left"/>
    </xf>
    <xf numFmtId="0" fontId="21" fillId="0" borderId="7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21" fillId="0" borderId="5" xfId="0" applyFont="1" applyBorder="1" applyAlignment="1">
      <alignment horizontal="right"/>
    </xf>
    <xf numFmtId="0" fontId="21" fillId="0" borderId="71" xfId="0" applyFont="1" applyBorder="1" applyAlignment="1">
      <alignment horizontal="right"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2" xfId="17" applyBorder="1">
      <alignment/>
      <protection/>
    </xf>
    <xf numFmtId="0" fontId="24" fillId="0" borderId="3" xfId="17" applyFont="1" applyBorder="1">
      <alignment/>
      <protection/>
    </xf>
    <xf numFmtId="0" fontId="11" fillId="0" borderId="3" xfId="17" applyFont="1" applyBorder="1">
      <alignment/>
      <protection/>
    </xf>
    <xf numFmtId="0" fontId="4" fillId="0" borderId="3" xfId="17" applyBorder="1">
      <alignment/>
      <protection/>
    </xf>
    <xf numFmtId="0" fontId="2" fillId="0" borderId="43" xfId="17" applyFont="1" applyBorder="1">
      <alignment/>
      <protection/>
    </xf>
    <xf numFmtId="0" fontId="2" fillId="0" borderId="3" xfId="17" applyFont="1" applyBorder="1">
      <alignment/>
      <protection/>
    </xf>
    <xf numFmtId="0" fontId="4" fillId="0" borderId="43" xfId="17" applyBorder="1">
      <alignment/>
      <protection/>
    </xf>
    <xf numFmtId="0" fontId="41" fillId="0" borderId="2" xfId="17" applyFont="1" applyBorder="1">
      <alignment/>
      <protection/>
    </xf>
    <xf numFmtId="0" fontId="4" fillId="0" borderId="0" xfId="17" applyFont="1" applyBorder="1">
      <alignment/>
      <protection/>
    </xf>
    <xf numFmtId="0" fontId="4" fillId="2" borderId="1" xfId="17" applyFont="1" applyFill="1" applyBorder="1" applyAlignment="1">
      <alignment horizontal="center"/>
      <protection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25" fillId="3" borderId="27" xfId="17" applyFont="1" applyFill="1" applyBorder="1" applyAlignment="1">
      <alignment horizontal="right" vertical="top" wrapText="1"/>
      <protection/>
    </xf>
    <xf numFmtId="0" fontId="42" fillId="2" borderId="72" xfId="17" applyFont="1" applyFill="1" applyBorder="1" applyAlignment="1">
      <alignment horizontal="center" vertical="top" wrapText="1"/>
      <protection/>
    </xf>
    <xf numFmtId="0" fontId="34" fillId="2" borderId="73" xfId="17" applyFont="1" applyFill="1" applyBorder="1" applyAlignment="1">
      <alignment horizontal="left" vertical="top" wrapText="1" indent="1"/>
      <protection/>
    </xf>
    <xf numFmtId="0" fontId="18" fillId="3" borderId="37" xfId="17" applyFont="1" applyFill="1" applyBorder="1" applyAlignment="1">
      <alignment horizontal="center"/>
      <protection/>
    </xf>
    <xf numFmtId="0" fontId="34" fillId="2" borderId="29" xfId="17" applyFont="1" applyFill="1" applyBorder="1">
      <alignment/>
      <protection/>
    </xf>
    <xf numFmtId="0" fontId="12" fillId="3" borderId="12" xfId="17" applyFont="1" applyFill="1" applyBorder="1" applyAlignment="1">
      <alignment horizontal="center"/>
      <protection/>
    </xf>
    <xf numFmtId="0" fontId="12" fillId="3" borderId="12" xfId="17" applyFont="1" applyFill="1" applyBorder="1" applyAlignment="1">
      <alignment horizontal="center" wrapText="1"/>
      <protection/>
    </xf>
    <xf numFmtId="0" fontId="8" fillId="2" borderId="1" xfId="17" applyFont="1" applyFill="1" applyBorder="1" applyAlignment="1">
      <alignment horizontal="left" vertical="top" wrapText="1"/>
      <protection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17" applyFont="1" applyFill="1" applyBorder="1" applyAlignment="1">
      <alignment horizontal="left" vertical="top" wrapText="1"/>
      <protection/>
    </xf>
    <xf numFmtId="0" fontId="4" fillId="2" borderId="6" xfId="17" applyFont="1" applyFill="1" applyBorder="1" applyAlignment="1">
      <alignment horizontal="center"/>
      <protection/>
    </xf>
    <xf numFmtId="0" fontId="4" fillId="2" borderId="12" xfId="17" applyFont="1" applyFill="1" applyBorder="1" applyAlignment="1">
      <alignment horizontal="center"/>
      <protection/>
    </xf>
    <xf numFmtId="0" fontId="0" fillId="0" borderId="0" xfId="17" applyFont="1">
      <alignment/>
      <protection/>
    </xf>
    <xf numFmtId="0" fontId="8" fillId="2" borderId="56" xfId="17" applyNumberFormat="1" applyFont="1" applyFill="1" applyBorder="1" applyAlignment="1">
      <alignment wrapText="1" shrinkToFit="1"/>
      <protection/>
    </xf>
    <xf numFmtId="0" fontId="8" fillId="2" borderId="56" xfId="17" applyFont="1" applyFill="1" applyBorder="1" applyAlignment="1">
      <alignment wrapText="1"/>
      <protection/>
    </xf>
    <xf numFmtId="0" fontId="8" fillId="2" borderId="65" xfId="17" applyFont="1" applyFill="1" applyBorder="1" applyAlignment="1">
      <alignment wrapText="1"/>
      <protection/>
    </xf>
    <xf numFmtId="0" fontId="11" fillId="2" borderId="45" xfId="17" applyFont="1" applyFill="1" applyBorder="1" applyAlignment="1">
      <alignment vertical="center"/>
      <protection/>
    </xf>
    <xf numFmtId="0" fontId="11" fillId="2" borderId="8" xfId="17" applyFont="1" applyFill="1" applyBorder="1" applyAlignment="1">
      <alignment vertical="center"/>
      <protection/>
    </xf>
    <xf numFmtId="0" fontId="11" fillId="2" borderId="34" xfId="17" applyFont="1" applyFill="1" applyBorder="1" applyAlignment="1">
      <alignment vertical="center"/>
      <protection/>
    </xf>
    <xf numFmtId="0" fontId="11" fillId="2" borderId="14" xfId="17" applyFont="1" applyFill="1" applyBorder="1" applyAlignment="1">
      <alignment vertical="center"/>
      <protection/>
    </xf>
    <xf numFmtId="0" fontId="11" fillId="2" borderId="19" xfId="17" applyFont="1" applyFill="1" applyBorder="1" applyAlignment="1">
      <alignment horizontal="center" vertical="center"/>
      <protection/>
    </xf>
    <xf numFmtId="0" fontId="11" fillId="2" borderId="1" xfId="17" applyFont="1" applyFill="1" applyBorder="1" applyAlignment="1">
      <alignment horizontal="center" vertical="center"/>
      <protection/>
    </xf>
    <xf numFmtId="0" fontId="11" fillId="2" borderId="20" xfId="17" applyFont="1" applyFill="1" applyBorder="1" applyAlignment="1">
      <alignment horizontal="center" vertical="center"/>
      <protection/>
    </xf>
    <xf numFmtId="0" fontId="11" fillId="2" borderId="6" xfId="17" applyFont="1" applyFill="1" applyBorder="1" applyAlignment="1">
      <alignment horizontal="center" vertical="center"/>
      <protection/>
    </xf>
    <xf numFmtId="0" fontId="11" fillId="2" borderId="46" xfId="17" applyFont="1" applyFill="1" applyBorder="1" applyAlignment="1">
      <alignment horizontal="left" vertical="center"/>
      <protection/>
    </xf>
    <xf numFmtId="0" fontId="11" fillId="2" borderId="46" xfId="17" applyFont="1" applyFill="1" applyBorder="1" applyAlignment="1">
      <alignment vertical="center"/>
      <protection/>
    </xf>
    <xf numFmtId="0" fontId="11" fillId="2" borderId="4" xfId="17" applyFont="1" applyFill="1" applyBorder="1" applyAlignment="1">
      <alignment horizontal="center" vertical="center"/>
      <protection/>
    </xf>
    <xf numFmtId="0" fontId="11" fillId="2" borderId="59" xfId="17" applyFont="1" applyFill="1" applyBorder="1" applyAlignment="1">
      <alignment horizontal="center" vertical="center"/>
      <protection/>
    </xf>
    <xf numFmtId="0" fontId="11" fillId="2" borderId="62" xfId="17" applyFont="1" applyFill="1" applyBorder="1" applyAlignment="1">
      <alignment horizontal="center" vertical="center"/>
      <protection/>
    </xf>
    <xf numFmtId="0" fontId="11" fillId="2" borderId="63" xfId="17" applyFont="1" applyFill="1" applyBorder="1" applyAlignment="1">
      <alignment horizontal="center" vertical="center"/>
      <protection/>
    </xf>
    <xf numFmtId="0" fontId="11" fillId="2" borderId="64" xfId="17" applyFont="1" applyFill="1" applyBorder="1" applyAlignment="1">
      <alignment horizontal="center" vertical="center"/>
      <protection/>
    </xf>
    <xf numFmtId="0" fontId="11" fillId="2" borderId="58" xfId="17" applyFont="1" applyFill="1" applyBorder="1" applyAlignment="1">
      <alignment horizontal="center" vertical="center"/>
      <protection/>
    </xf>
    <xf numFmtId="0" fontId="11" fillId="2" borderId="26" xfId="17" applyFont="1" applyFill="1" applyBorder="1" applyAlignment="1">
      <alignment horizontal="center" vertical="center"/>
      <protection/>
    </xf>
    <xf numFmtId="0" fontId="11" fillId="2" borderId="36" xfId="17" applyFont="1" applyFill="1" applyBorder="1" applyAlignment="1">
      <alignment horizontal="center" vertical="center"/>
      <protection/>
    </xf>
    <xf numFmtId="0" fontId="11" fillId="2" borderId="43" xfId="17" applyFont="1" applyFill="1" applyBorder="1" applyAlignment="1">
      <alignment horizontal="center" vertical="center"/>
      <protection/>
    </xf>
    <xf numFmtId="0" fontId="11" fillId="2" borderId="42" xfId="17" applyFont="1" applyFill="1" applyBorder="1" applyAlignment="1">
      <alignment horizontal="center" vertical="center"/>
      <protection/>
    </xf>
    <xf numFmtId="0" fontId="11" fillId="2" borderId="18" xfId="17" applyFont="1" applyFill="1" applyBorder="1" applyAlignment="1">
      <alignment horizontal="center" vertical="center"/>
      <protection/>
    </xf>
    <xf numFmtId="0" fontId="11" fillId="2" borderId="19" xfId="17" applyFont="1" applyFill="1" applyBorder="1" applyAlignment="1">
      <alignment vertical="center"/>
      <protection/>
    </xf>
    <xf numFmtId="0" fontId="11" fillId="2" borderId="1" xfId="17" applyFont="1" applyFill="1" applyBorder="1" applyAlignment="1">
      <alignment vertical="center"/>
      <protection/>
    </xf>
    <xf numFmtId="0" fontId="11" fillId="2" borderId="22" xfId="17" applyFont="1" applyFill="1" applyBorder="1" applyAlignment="1">
      <alignment vertical="center"/>
      <protection/>
    </xf>
    <xf numFmtId="0" fontId="11" fillId="2" borderId="67" xfId="17" applyFont="1" applyFill="1" applyBorder="1" applyAlignment="1">
      <alignment vertical="center"/>
      <protection/>
    </xf>
    <xf numFmtId="0" fontId="11" fillId="2" borderId="20" xfId="17" applyFont="1" applyFill="1" applyBorder="1" applyAlignment="1">
      <alignment vertical="center"/>
      <protection/>
    </xf>
    <xf numFmtId="0" fontId="11" fillId="2" borderId="6" xfId="17" applyFont="1" applyFill="1" applyBorder="1" applyAlignment="1">
      <alignment vertical="center"/>
      <protection/>
    </xf>
    <xf numFmtId="0" fontId="11" fillId="2" borderId="23" xfId="17" applyFont="1" applyFill="1" applyBorder="1" applyAlignment="1">
      <alignment vertical="center"/>
      <protection/>
    </xf>
    <xf numFmtId="0" fontId="11" fillId="2" borderId="66" xfId="17" applyFont="1" applyFill="1" applyBorder="1" applyAlignment="1">
      <alignment vertical="center"/>
      <protection/>
    </xf>
    <xf numFmtId="0" fontId="11" fillId="2" borderId="4" xfId="17" applyFont="1" applyFill="1" applyBorder="1" applyAlignment="1">
      <alignment vertical="center"/>
      <protection/>
    </xf>
    <xf numFmtId="0" fontId="11" fillId="2" borderId="68" xfId="17" applyFont="1" applyFill="1" applyBorder="1" applyAlignment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" fontId="10" fillId="0" borderId="4" xfId="0" applyNumberFormat="1" applyFont="1" applyBorder="1" applyAlignment="1">
      <alignment/>
    </xf>
    <xf numFmtId="181" fontId="11" fillId="0" borderId="6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10" fillId="0" borderId="4" xfId="0" applyFont="1" applyBorder="1" applyAlignment="1">
      <alignment/>
    </xf>
    <xf numFmtId="0" fontId="5" fillId="2" borderId="1" xfId="16" applyFill="1" applyBorder="1" applyAlignment="1" applyProtection="1">
      <alignment horizontal="left"/>
      <protection/>
    </xf>
    <xf numFmtId="0" fontId="24" fillId="0" borderId="2" xfId="17" applyFont="1" applyBorder="1">
      <alignment/>
      <protection/>
    </xf>
    <xf numFmtId="0" fontId="24" fillId="0" borderId="0" xfId="17" applyFont="1" applyAlignment="1">
      <alignment horizontal="left"/>
      <protection/>
    </xf>
  </cellXfs>
  <cellStyles count="9">
    <cellStyle name="Normal" xfId="0"/>
    <cellStyle name="Followed Hyperlink" xfId="15"/>
    <cellStyle name="Hyperlink" xfId="16"/>
    <cellStyle name="Normal_laskelmatA6.xls" xfId="17"/>
    <cellStyle name="Comma" xfId="18"/>
    <cellStyle name="Comma [0]" xfId="19"/>
    <cellStyle name="Percent" xfId="20"/>
    <cellStyle name="Currency" xfId="21"/>
    <cellStyle name="Currency [0]" xfId="22"/>
  </cellStyles>
  <dxfs count="5">
    <dxf>
      <font>
        <b val="0"/>
        <i val="0"/>
        <u val="none"/>
        <color auto="1"/>
      </font>
      <fill>
        <patternFill patternType="gray0625">
          <bgColor rgb="FFFFFFFF"/>
        </patternFill>
      </fill>
      <border/>
    </dxf>
    <dxf>
      <fill>
        <patternFill patternType="gray0625"/>
      </fill>
      <border/>
    </dxf>
    <dxf>
      <fill>
        <patternFill patternType="solid">
          <bgColor rgb="FFC0C0C0"/>
        </patternFill>
      </fill>
      <border/>
    </dxf>
    <dxf>
      <font>
        <color rgb="FFC0C0C0"/>
      </font>
      <fill>
        <patternFill patternType="none">
          <bgColor indexed="65"/>
        </patternFill>
      </fill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Tuotejakauma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0.31275"/>
          <c:w val="0.428"/>
          <c:h val="0.54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('ostos&amp;hinnat'!$B$7,'ostos&amp;hinnat'!$B$14,'ostos&amp;hinnat'!$B$23,'ostos&amp;hinnat'!$B$29,'ostos&amp;hinnat'!$B$34,'ostos&amp;hinnat'!$B$39)</c:f>
              <c:strCache>
                <c:ptCount val="6"/>
                <c:pt idx="0">
                  <c:v>Ruokatuotteet</c:v>
                </c:pt>
                <c:pt idx="1">
                  <c:v>Alkoholit</c:v>
                </c:pt>
                <c:pt idx="2">
                  <c:v>Olut ja siideri</c:v>
                </c:pt>
                <c:pt idx="3">
                  <c:v>Virvoke</c:v>
                </c:pt>
                <c:pt idx="4">
                  <c:v>Kahvi</c:v>
                </c:pt>
                <c:pt idx="5">
                  <c:v>Muu</c:v>
                </c:pt>
              </c:strCache>
            </c:strRef>
          </c:cat>
          <c:val>
            <c:numRef>
              <c:f>('ostos&amp;hinnat'!$F$12,'ostos&amp;hinnat'!$F$21,'ostos&amp;hinnat'!$F$27,'ostos&amp;hinnat'!$F$32,'ostos&amp;hinnat'!$F$37,'ostos&amp;hinnat'!$F$43)</c:f>
              <c:numCache>
                <c:ptCount val="6"/>
                <c:pt idx="0">
                  <c:v>10</c:v>
                </c:pt>
                <c:pt idx="1">
                  <c:v>9.95</c:v>
                </c:pt>
                <c:pt idx="2">
                  <c:v>7.2</c:v>
                </c:pt>
                <c:pt idx="3">
                  <c:v>3</c:v>
                </c:pt>
                <c:pt idx="4">
                  <c:v>4</c:v>
                </c:pt>
                <c:pt idx="5">
                  <c:v>14.05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25875"/>
          <c:w val="0.26475"/>
          <c:h val="0.4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Myyntikateprosentit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38775"/>
          <c:w val="0.901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('ostos&amp;hinnat'!$B$7,'ostos&amp;hinnat'!$B$14,'ostos&amp;hinnat'!$B$23,'ostos&amp;hinnat'!$B$29,'ostos&amp;hinnat'!$B$34,'ostos&amp;hinnat'!$B$39)</c:f>
              <c:strCache>
                <c:ptCount val="6"/>
                <c:pt idx="0">
                  <c:v>Ruokatuotteet</c:v>
                </c:pt>
                <c:pt idx="1">
                  <c:v>Alkoholit</c:v>
                </c:pt>
                <c:pt idx="2">
                  <c:v>Olut ja siideri</c:v>
                </c:pt>
                <c:pt idx="3">
                  <c:v>Virvoke</c:v>
                </c:pt>
                <c:pt idx="4">
                  <c:v>Kahvi</c:v>
                </c:pt>
                <c:pt idx="5">
                  <c:v>Muu</c:v>
                </c:pt>
              </c:strCache>
            </c:strRef>
          </c:cat>
          <c:val>
            <c:numRef>
              <c:f>('ostos&amp;hinnat'!$G$7,'ostos&amp;hinnat'!$G$14,'ostos&amp;hinnat'!$G$23,'ostos&amp;hinnat'!$G$29,'ostos&amp;hinnat'!$G$34,'ostos&amp;hinnat'!$G$39)</c:f>
              <c:numCache>
                <c:ptCount val="6"/>
                <c:pt idx="0">
                  <c:v>65</c:v>
                </c:pt>
                <c:pt idx="1">
                  <c:v>68</c:v>
                </c:pt>
                <c:pt idx="2">
                  <c:v>70</c:v>
                </c:pt>
                <c:pt idx="3">
                  <c:v>80</c:v>
                </c:pt>
                <c:pt idx="4">
                  <c:v>85</c:v>
                </c:pt>
                <c:pt idx="5">
                  <c:v>45</c:v>
                </c:pt>
              </c:numCache>
            </c:numRef>
          </c:val>
        </c:ser>
        <c:axId val="27116150"/>
        <c:axId val="42718759"/>
      </c:bar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7116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Viikkomyynti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38775"/>
          <c:w val="0.90125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v>aaa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(myennuste!$B$7,myennuste!$B$15,myennuste!$B$23,myennuste!$B$31,myennuste!$B$39,myennuste!$B$47,myennuste!$B$55)</c:f>
              <c:strCache>
                <c:ptCount val="7"/>
                <c:pt idx="0">
                  <c:v>Maanantai</c:v>
                </c:pt>
                <c:pt idx="1">
                  <c:v>Tiistai</c:v>
                </c:pt>
                <c:pt idx="2">
                  <c:v>Keskiviikko</c:v>
                </c:pt>
                <c:pt idx="3">
                  <c:v>Torstai</c:v>
                </c:pt>
                <c:pt idx="4">
                  <c:v>Perjantai</c:v>
                </c:pt>
                <c:pt idx="5">
                  <c:v>Lauantai</c:v>
                </c:pt>
                <c:pt idx="6">
                  <c:v>Sunnuntai</c:v>
                </c:pt>
              </c:strCache>
            </c:strRef>
          </c:cat>
          <c:val>
            <c:numRef>
              <c:f>(myennuste!$D$13,myennuste!$D$21,myennuste!$D$29,myennuste!$D$37,myennuste!$D$45,myennuste!$D$53,myennuste!$D$61)</c:f>
              <c:numCache>
                <c:ptCount val="7"/>
                <c:pt idx="0">
                  <c:v>1293.6</c:v>
                </c:pt>
                <c:pt idx="1">
                  <c:v>1293.6</c:v>
                </c:pt>
                <c:pt idx="2">
                  <c:v>1293.6</c:v>
                </c:pt>
                <c:pt idx="3">
                  <c:v>1293.6</c:v>
                </c:pt>
                <c:pt idx="4">
                  <c:v>2310</c:v>
                </c:pt>
                <c:pt idx="5">
                  <c:v>2310</c:v>
                </c:pt>
                <c:pt idx="6">
                  <c:v>0</c:v>
                </c:pt>
              </c:numCache>
            </c:numRef>
          </c:val>
        </c:ser>
        <c:axId val="48924512"/>
        <c:axId val="37667425"/>
      </c:bar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67425"/>
        <c:crosses val="autoZero"/>
        <c:auto val="1"/>
        <c:lblOffset val="100"/>
        <c:tickLblSkip val="1"/>
        <c:noMultiLvlLbl val="0"/>
      </c:catAx>
      <c:valAx>
        <c:axId val="37667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€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8</xdr:col>
      <xdr:colOff>238125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619125" y="314325"/>
        <a:ext cx="4572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26</xdr:row>
      <xdr:rowOff>0</xdr:rowOff>
    </xdr:from>
    <xdr:to>
      <xdr:col>7</xdr:col>
      <xdr:colOff>619125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628650" y="4200525"/>
        <a:ext cx="43243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7</xdr:col>
      <xdr:colOff>619125</xdr:colOff>
      <xdr:row>72</xdr:row>
      <xdr:rowOff>152400</xdr:rowOff>
    </xdr:to>
    <xdr:graphicFrame>
      <xdr:nvGraphicFramePr>
        <xdr:cNvPr id="3" name="Chart 3"/>
        <xdr:cNvGraphicFramePr/>
      </xdr:nvGraphicFramePr>
      <xdr:xfrm>
        <a:off x="619125" y="8220075"/>
        <a:ext cx="43338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9.f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showGridLines="0" zoomScale="150" zoomScaleNormal="150" workbookViewId="0" topLeftCell="A1">
      <selection activeCell="B1" sqref="B1"/>
    </sheetView>
  </sheetViews>
  <sheetFormatPr defaultColWidth="11.00390625" defaultRowHeight="12.75"/>
  <cols>
    <col min="1" max="1" width="4.00390625" style="0" customWidth="1"/>
    <col min="2" max="2" width="20.875" style="0" customWidth="1"/>
    <col min="3" max="3" width="25.125" style="0" customWidth="1"/>
    <col min="4" max="4" width="2.00390625" style="0" customWidth="1"/>
    <col min="5" max="5" width="18.50390625" style="0" customWidth="1"/>
    <col min="6" max="6" width="14.50390625" style="0" customWidth="1"/>
  </cols>
  <sheetData>
    <row r="1" spans="2:5" ht="12.75">
      <c r="B1" s="1"/>
      <c r="C1" s="1"/>
      <c r="D1" s="1"/>
      <c r="E1" s="1"/>
    </row>
    <row r="2" spans="2:5" ht="18">
      <c r="B2" s="82" t="s">
        <v>158</v>
      </c>
      <c r="C2" s="1"/>
      <c r="D2" s="1"/>
      <c r="E2" s="1"/>
    </row>
    <row r="3" spans="2:5" ht="12.75">
      <c r="B3" s="1"/>
      <c r="C3" s="1"/>
      <c r="D3" s="1"/>
      <c r="E3" s="1"/>
    </row>
    <row r="4" spans="2:5" ht="12.75">
      <c r="B4" s="84"/>
      <c r="C4" s="1"/>
      <c r="D4" s="1"/>
      <c r="E4" s="31"/>
    </row>
    <row r="5" spans="2:6" ht="12.75">
      <c r="B5" s="93" t="s">
        <v>307</v>
      </c>
      <c r="C5" s="136" t="s">
        <v>404</v>
      </c>
      <c r="D5" s="53"/>
      <c r="E5" s="97" t="s">
        <v>306</v>
      </c>
      <c r="F5" s="136">
        <v>70</v>
      </c>
    </row>
    <row r="6" spans="2:6" ht="12.75">
      <c r="B6" s="94" t="s">
        <v>24</v>
      </c>
      <c r="C6" s="136" t="s">
        <v>406</v>
      </c>
      <c r="D6" s="53"/>
      <c r="E6" s="97" t="s">
        <v>198</v>
      </c>
      <c r="F6" s="136">
        <v>130</v>
      </c>
    </row>
    <row r="7" spans="2:6" ht="12.75">
      <c r="B7" s="94" t="s">
        <v>25</v>
      </c>
      <c r="C7" s="136" t="s">
        <v>13</v>
      </c>
      <c r="D7" s="53"/>
      <c r="E7" s="97" t="s">
        <v>279</v>
      </c>
      <c r="F7" s="136">
        <v>95</v>
      </c>
    </row>
    <row r="8" spans="2:6" ht="12.75">
      <c r="B8" s="94" t="s">
        <v>26</v>
      </c>
      <c r="C8" s="136" t="s">
        <v>98</v>
      </c>
      <c r="D8" s="53"/>
      <c r="E8" s="96"/>
      <c r="F8" s="53"/>
    </row>
    <row r="9" spans="2:6" ht="12.75">
      <c r="B9" s="94" t="s">
        <v>27</v>
      </c>
      <c r="C9" s="440" t="s">
        <v>405</v>
      </c>
      <c r="D9" s="53"/>
      <c r="E9" s="97" t="s">
        <v>159</v>
      </c>
      <c r="F9" s="136" t="s">
        <v>278</v>
      </c>
    </row>
    <row r="10" spans="2:6" ht="12.75">
      <c r="B10" s="93" t="s">
        <v>28</v>
      </c>
      <c r="C10" s="136"/>
      <c r="D10" s="53"/>
      <c r="F10" s="136" t="s">
        <v>277</v>
      </c>
    </row>
    <row r="11" spans="2:6" ht="12.75">
      <c r="B11" s="92"/>
      <c r="C11" s="83"/>
      <c r="D11" s="83"/>
      <c r="F11" s="136" t="s">
        <v>160</v>
      </c>
    </row>
    <row r="12" spans="2:6" ht="12.75">
      <c r="B12" s="93" t="s">
        <v>16</v>
      </c>
      <c r="C12" s="136" t="s">
        <v>407</v>
      </c>
      <c r="D12" s="83"/>
      <c r="F12" s="211"/>
    </row>
    <row r="13" spans="2:4" ht="12.75">
      <c r="B13" s="93" t="s">
        <v>33</v>
      </c>
      <c r="C13" s="136" t="s">
        <v>14</v>
      </c>
      <c r="D13" s="53"/>
    </row>
    <row r="14" spans="2:4" ht="12.75">
      <c r="B14" s="94" t="s">
        <v>8</v>
      </c>
      <c r="C14" s="136">
        <v>55301</v>
      </c>
      <c r="D14" s="53"/>
    </row>
    <row r="15" spans="2:5" ht="12.75">
      <c r="B15" s="94" t="s">
        <v>29</v>
      </c>
      <c r="C15" s="210">
        <v>38625</v>
      </c>
      <c r="D15" s="53"/>
      <c r="E15" s="1"/>
    </row>
    <row r="16" spans="2:5" ht="12.75">
      <c r="B16" s="94" t="s">
        <v>32</v>
      </c>
      <c r="C16" s="210">
        <v>38639</v>
      </c>
      <c r="D16" s="53"/>
      <c r="E16" s="1"/>
    </row>
    <row r="17" spans="2:5" ht="12">
      <c r="B17" s="94" t="s">
        <v>15</v>
      </c>
      <c r="C17" s="136" t="s">
        <v>17</v>
      </c>
      <c r="D17" s="53"/>
      <c r="E17" s="1"/>
    </row>
    <row r="18" spans="2:5" ht="12">
      <c r="B18" s="92"/>
      <c r="C18" s="83"/>
      <c r="D18" s="83"/>
      <c r="E18" s="1"/>
    </row>
    <row r="19" spans="2:5" ht="12">
      <c r="B19" s="93" t="s">
        <v>9</v>
      </c>
      <c r="C19" s="136" t="s">
        <v>18</v>
      </c>
      <c r="D19" s="53"/>
      <c r="E19" s="1" t="s">
        <v>98</v>
      </c>
    </row>
    <row r="20" spans="2:5" ht="12">
      <c r="B20" s="92"/>
      <c r="C20" s="1"/>
      <c r="D20" s="1"/>
      <c r="E20" s="1"/>
    </row>
    <row r="21" spans="2:5" ht="12">
      <c r="B21" s="93" t="s">
        <v>154</v>
      </c>
      <c r="C21" s="137"/>
      <c r="D21" s="31"/>
      <c r="E21" s="1"/>
    </row>
    <row r="22" spans="2:5" ht="12">
      <c r="B22" s="94" t="s">
        <v>65</v>
      </c>
      <c r="C22" s="137"/>
      <c r="D22" s="31"/>
      <c r="E22" s="1"/>
    </row>
    <row r="23" spans="2:5" ht="12">
      <c r="B23" s="94" t="s">
        <v>287</v>
      </c>
      <c r="C23" s="137" t="s">
        <v>19</v>
      </c>
      <c r="D23" s="31"/>
      <c r="E23" s="1"/>
    </row>
    <row r="24" spans="2:5" ht="12">
      <c r="B24" s="96"/>
      <c r="C24" s="137" t="s">
        <v>20</v>
      </c>
      <c r="D24" s="31"/>
      <c r="E24" s="1"/>
    </row>
    <row r="25" spans="2:5" ht="12">
      <c r="B25" s="96"/>
      <c r="C25" s="137" t="s">
        <v>21</v>
      </c>
      <c r="D25" s="31"/>
      <c r="E25" s="1"/>
    </row>
    <row r="26" spans="2:5" ht="12">
      <c r="B26" s="96"/>
      <c r="C26" s="137"/>
      <c r="D26" s="31"/>
      <c r="E26" s="1"/>
    </row>
    <row r="27" spans="2:5" ht="12">
      <c r="B27" s="96"/>
      <c r="C27" s="137"/>
      <c r="D27" s="31"/>
      <c r="E27" s="1" t="s">
        <v>98</v>
      </c>
    </row>
    <row r="28" spans="2:5" ht="12">
      <c r="B28" s="92"/>
      <c r="C28" s="1"/>
      <c r="E28" t="s">
        <v>98</v>
      </c>
    </row>
    <row r="29" spans="2:5" ht="12">
      <c r="B29" s="93" t="s">
        <v>66</v>
      </c>
      <c r="C29" s="137" t="s">
        <v>7</v>
      </c>
      <c r="D29" s="95"/>
      <c r="E29" t="s">
        <v>397</v>
      </c>
    </row>
    <row r="30" spans="2:4" ht="12">
      <c r="B30" s="94" t="s">
        <v>67</v>
      </c>
      <c r="C30" s="137" t="s">
        <v>34</v>
      </c>
      <c r="D30" s="95"/>
    </row>
    <row r="31" spans="2:4" ht="12">
      <c r="B31" s="79"/>
      <c r="C31" s="137" t="s">
        <v>35</v>
      </c>
      <c r="D31" s="95"/>
    </row>
    <row r="32" spans="2:4" ht="12">
      <c r="B32" s="79"/>
      <c r="C32" s="137"/>
      <c r="D32" s="95"/>
    </row>
    <row r="33" spans="2:4" ht="12">
      <c r="B33" s="1"/>
      <c r="C33" s="135"/>
      <c r="D33" s="95"/>
    </row>
    <row r="34" spans="2:3" ht="12">
      <c r="B34" s="1"/>
      <c r="C34" s="135"/>
    </row>
    <row r="35" ht="12">
      <c r="C35" s="120"/>
    </row>
  </sheetData>
  <hyperlinks>
    <hyperlink ref="C9" r:id="rId1" display="www.rc9.fi"/>
  </hyperlinks>
  <printOptions/>
  <pageMargins left="0.25925925925925924" right="0.75" top="1" bottom="1" header="0.5" footer="0.5"/>
  <pageSetup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1"/>
  <sheetViews>
    <sheetView showGridLines="0" zoomScale="150" zoomScaleNormal="150" workbookViewId="0" topLeftCell="A1">
      <selection activeCell="A54" sqref="A54"/>
    </sheetView>
  </sheetViews>
  <sheetFormatPr defaultColWidth="11.00390625" defaultRowHeight="12.75"/>
  <cols>
    <col min="1" max="1" width="17.00390625" style="1" customWidth="1"/>
    <col min="2" max="2" width="1.12109375" style="1" customWidth="1"/>
    <col min="3" max="3" width="20.00390625" style="0" customWidth="1"/>
    <col min="4" max="4" width="12.875" style="0" customWidth="1"/>
    <col min="5" max="5" width="5.50390625" style="0" customWidth="1"/>
    <col min="6" max="6" width="2.125" style="0" customWidth="1"/>
    <col min="7" max="7" width="6.375" style="0" customWidth="1"/>
    <col min="8" max="8" width="5.375" style="0" customWidth="1"/>
    <col min="9" max="9" width="1.00390625" style="0" customWidth="1"/>
    <col min="10" max="10" width="6.875" style="0" customWidth="1"/>
    <col min="11" max="11" width="1.00390625" style="0" customWidth="1"/>
  </cols>
  <sheetData>
    <row r="2" spans="1:3" ht="16.5">
      <c r="A2" s="92"/>
      <c r="B2" s="92"/>
      <c r="C2" s="270" t="s">
        <v>56</v>
      </c>
    </row>
    <row r="3" spans="1:3" ht="16.5">
      <c r="A3" s="92"/>
      <c r="B3" s="92"/>
      <c r="C3" s="270" t="str">
        <f>Perustiedot!C5</f>
        <v>Ravintola C9</v>
      </c>
    </row>
    <row r="4" spans="1:3" ht="16.5">
      <c r="A4" s="92"/>
      <c r="B4" s="92"/>
      <c r="C4" s="270"/>
    </row>
    <row r="5" spans="1:11" ht="12.75" thickBot="1">
      <c r="A5" s="92"/>
      <c r="B5" s="92"/>
      <c r="C5" s="91"/>
      <c r="D5" s="368" t="str">
        <f>C3</f>
        <v>Ravintola C9</v>
      </c>
      <c r="E5" s="124"/>
      <c r="G5" s="368" t="s">
        <v>283</v>
      </c>
      <c r="H5" s="124"/>
      <c r="I5" s="124"/>
      <c r="J5" s="124"/>
      <c r="K5" s="124"/>
    </row>
    <row r="6" spans="1:7" ht="3.75" customHeight="1">
      <c r="A6" s="92"/>
      <c r="B6" s="92"/>
      <c r="C6" s="91"/>
      <c r="D6" s="369"/>
      <c r="G6" s="374"/>
    </row>
    <row r="7" spans="1:7" ht="12">
      <c r="A7" s="365" t="s">
        <v>79</v>
      </c>
      <c r="B7" s="96"/>
      <c r="C7" s="97" t="s">
        <v>206</v>
      </c>
      <c r="D7" s="116">
        <f>tulos12kk!F31/12</f>
        <v>42442.4</v>
      </c>
      <c r="E7" s="100" t="s">
        <v>248</v>
      </c>
      <c r="G7" s="374"/>
    </row>
    <row r="8" spans="1:7" ht="12">
      <c r="A8" s="365"/>
      <c r="B8" s="96"/>
      <c r="C8" s="370" t="s">
        <v>199</v>
      </c>
      <c r="D8" s="116">
        <f>tulos12kk!F31</f>
        <v>509308.80000000005</v>
      </c>
      <c r="E8" s="100" t="s">
        <v>248</v>
      </c>
      <c r="G8" s="374"/>
    </row>
    <row r="9" spans="1:7" ht="12">
      <c r="A9" s="365"/>
      <c r="B9" s="96"/>
      <c r="C9" s="370" t="s">
        <v>80</v>
      </c>
      <c r="D9" s="116">
        <f>Rahoitus!D19</f>
        <v>218000</v>
      </c>
      <c r="E9" s="100" t="s">
        <v>248</v>
      </c>
      <c r="G9" s="374"/>
    </row>
    <row r="10" spans="1:7" ht="12">
      <c r="A10" s="365"/>
      <c r="B10" s="96"/>
      <c r="C10" s="370" t="s">
        <v>200</v>
      </c>
      <c r="D10" s="116">
        <f>tunnit!D22</f>
        <v>4.42962962962963</v>
      </c>
      <c r="E10" s="100" t="s">
        <v>205</v>
      </c>
      <c r="G10" s="374"/>
    </row>
    <row r="11" spans="1:7" ht="12">
      <c r="A11" s="92"/>
      <c r="B11" s="92"/>
      <c r="C11" s="92"/>
      <c r="D11" s="372"/>
      <c r="E11" s="1"/>
      <c r="G11" s="374"/>
    </row>
    <row r="12" spans="1:10" ht="12">
      <c r="A12" s="365" t="s">
        <v>162</v>
      </c>
      <c r="B12" s="96"/>
      <c r="C12" s="97" t="s">
        <v>201</v>
      </c>
      <c r="D12" s="116">
        <f>D7/tunnit!D21</f>
        <v>60.834782608695654</v>
      </c>
      <c r="E12" s="100" t="s">
        <v>318</v>
      </c>
      <c r="G12" s="374"/>
      <c r="I12" s="95"/>
      <c r="J12" s="95"/>
    </row>
    <row r="13" spans="1:11" ht="12">
      <c r="A13" s="365"/>
      <c r="B13" s="96"/>
      <c r="C13" s="370" t="s">
        <v>203</v>
      </c>
      <c r="D13" s="116">
        <f>myennuste!H13</f>
        <v>606.32</v>
      </c>
      <c r="E13" s="100" t="s">
        <v>42</v>
      </c>
      <c r="G13" s="116">
        <f>'Alan lukuja'!C21</f>
        <v>300</v>
      </c>
      <c r="H13" s="33" t="s">
        <v>42</v>
      </c>
      <c r="I13" s="130" t="s">
        <v>304</v>
      </c>
      <c r="J13" s="133">
        <f>(G13/D13-1)</f>
        <v>-0.5052117693627127</v>
      </c>
      <c r="K13" s="132" t="s">
        <v>36</v>
      </c>
    </row>
    <row r="14" spans="1:10" ht="12">
      <c r="A14" s="365"/>
      <c r="B14" s="96"/>
      <c r="C14" s="370" t="s">
        <v>317</v>
      </c>
      <c r="D14" s="116">
        <f>D8/tunnit!D22/12</f>
        <v>9581.478260869566</v>
      </c>
      <c r="E14" s="100" t="s">
        <v>42</v>
      </c>
      <c r="G14" s="374"/>
      <c r="I14" s="95"/>
      <c r="J14" s="95"/>
    </row>
    <row r="15" spans="1:10" ht="12">
      <c r="A15" s="365"/>
      <c r="B15" s="96"/>
      <c r="C15" s="370" t="s">
        <v>204</v>
      </c>
      <c r="D15" s="116">
        <f>D7/Perustiedot!F6</f>
        <v>326.48</v>
      </c>
      <c r="E15" s="100" t="s">
        <v>42</v>
      </c>
      <c r="G15" s="374"/>
      <c r="I15" s="95"/>
      <c r="J15" s="95"/>
    </row>
    <row r="16" spans="1:10" ht="12">
      <c r="A16" s="365"/>
      <c r="B16" s="96"/>
      <c r="C16" s="370" t="s">
        <v>202</v>
      </c>
      <c r="D16" s="117">
        <f>'ostos&amp;hinnat'!G46</f>
        <v>9.24</v>
      </c>
      <c r="E16" s="100" t="s">
        <v>248</v>
      </c>
      <c r="G16" s="374"/>
      <c r="I16" s="95"/>
      <c r="J16" s="95"/>
    </row>
    <row r="17" spans="1:10" ht="12">
      <c r="A17" s="92"/>
      <c r="B17" s="92"/>
      <c r="C17" s="92" t="s">
        <v>98</v>
      </c>
      <c r="D17" s="373" t="s">
        <v>98</v>
      </c>
      <c r="E17" s="1" t="s">
        <v>98</v>
      </c>
      <c r="G17" s="374"/>
      <c r="I17" s="95"/>
      <c r="J17" s="95"/>
    </row>
    <row r="18" spans="1:10" ht="12">
      <c r="A18" s="92"/>
      <c r="B18" s="92"/>
      <c r="C18" s="92"/>
      <c r="D18" s="372"/>
      <c r="E18" s="1"/>
      <c r="G18" s="374"/>
      <c r="I18" s="95"/>
      <c r="J18" s="95"/>
    </row>
    <row r="19" spans="1:11" ht="12">
      <c r="A19" s="365" t="s">
        <v>161</v>
      </c>
      <c r="B19" s="96"/>
      <c r="C19" s="97" t="s">
        <v>45</v>
      </c>
      <c r="D19" s="118">
        <f>tulos12kk!D38</f>
        <v>66.05</v>
      </c>
      <c r="E19" s="100" t="s">
        <v>38</v>
      </c>
      <c r="G19" s="118">
        <f>'Alan lukuja'!D41</f>
        <v>69.3</v>
      </c>
      <c r="H19" s="33" t="s">
        <v>38</v>
      </c>
      <c r="I19" s="131" t="s">
        <v>304</v>
      </c>
      <c r="J19" s="134">
        <f>(G19/D19-1)</f>
        <v>0.049205147615442923</v>
      </c>
      <c r="K19" s="132" t="s">
        <v>36</v>
      </c>
    </row>
    <row r="20" spans="1:11" ht="12">
      <c r="A20" s="365"/>
      <c r="B20" s="96"/>
      <c r="C20" s="371" t="s">
        <v>47</v>
      </c>
      <c r="D20" s="118">
        <f>tulos12kk!D58</f>
        <v>10.476672384219547</v>
      </c>
      <c r="E20" s="100" t="s">
        <v>38</v>
      </c>
      <c r="G20" s="118">
        <f>'Alan lukuja'!D46</f>
        <v>8.799999999999997</v>
      </c>
      <c r="H20" s="33" t="s">
        <v>38</v>
      </c>
      <c r="I20" s="131" t="s">
        <v>304</v>
      </c>
      <c r="J20" s="134">
        <f>(G20/D20-1)</f>
        <v>-0.16003863848458533</v>
      </c>
      <c r="K20" s="132" t="s">
        <v>36</v>
      </c>
    </row>
    <row r="21" spans="1:8" ht="12">
      <c r="A21" s="92"/>
      <c r="B21" s="92"/>
      <c r="C21" s="51"/>
      <c r="D21" s="372"/>
      <c r="E21" s="1"/>
      <c r="G21" s="1"/>
      <c r="H21" s="1"/>
    </row>
    <row r="22" spans="1:5" ht="12">
      <c r="A22" s="92"/>
      <c r="B22" s="92"/>
      <c r="C22" s="79"/>
      <c r="D22" s="372"/>
      <c r="E22" s="1"/>
    </row>
    <row r="23" spans="1:5" ht="12">
      <c r="A23" s="365" t="s">
        <v>78</v>
      </c>
      <c r="B23" s="96"/>
      <c r="C23" s="97" t="s">
        <v>249</v>
      </c>
      <c r="D23" s="117">
        <f>Rahoitus!D13/Rahoitus!D6</f>
        <v>0.703125</v>
      </c>
      <c r="E23" s="100" t="s">
        <v>98</v>
      </c>
    </row>
    <row r="24" spans="1:5" ht="12">
      <c r="A24" s="365"/>
      <c r="B24" s="96"/>
      <c r="C24" s="370" t="s">
        <v>319</v>
      </c>
      <c r="D24" s="117">
        <f>Rahoitus!D6/Rahoitus!D19</f>
        <v>0.5871559633027523</v>
      </c>
      <c r="E24" s="100" t="s">
        <v>98</v>
      </c>
    </row>
    <row r="25" spans="1:13" ht="12">
      <c r="A25" s="92"/>
      <c r="B25" s="92"/>
      <c r="C25" s="92"/>
      <c r="D25" s="366"/>
      <c r="E25" s="31"/>
      <c r="F25" s="95"/>
      <c r="G25" s="95"/>
      <c r="M25" t="s">
        <v>98</v>
      </c>
    </row>
    <row r="26" spans="1:7" ht="12">
      <c r="A26" s="92"/>
      <c r="B26" s="92"/>
      <c r="C26" s="79" t="s">
        <v>98</v>
      </c>
      <c r="D26" s="31" t="s">
        <v>98</v>
      </c>
      <c r="E26" s="31" t="s">
        <v>98</v>
      </c>
      <c r="F26" s="95"/>
      <c r="G26" s="95"/>
    </row>
    <row r="27" spans="1:7" ht="12">
      <c r="A27" s="92"/>
      <c r="B27" s="92"/>
      <c r="C27" s="79" t="s">
        <v>98</v>
      </c>
      <c r="D27" s="367" t="s">
        <v>98</v>
      </c>
      <c r="E27" s="95"/>
      <c r="F27" s="95"/>
      <c r="G27" s="95"/>
    </row>
    <row r="28" spans="1:7" ht="12">
      <c r="A28" s="92"/>
      <c r="B28" s="92"/>
      <c r="C28" s="91"/>
      <c r="D28" s="95"/>
      <c r="E28" s="95"/>
      <c r="F28" s="95"/>
      <c r="G28" s="95"/>
    </row>
    <row r="29" spans="1:7" ht="12">
      <c r="A29" s="92"/>
      <c r="B29" s="92"/>
      <c r="C29" s="91"/>
      <c r="D29" s="95"/>
      <c r="E29" s="95"/>
      <c r="F29" s="95"/>
      <c r="G29" s="95"/>
    </row>
    <row r="30" spans="1:3" ht="12">
      <c r="A30" s="92"/>
      <c r="B30" s="92"/>
      <c r="C30" s="91"/>
    </row>
    <row r="31" ht="12">
      <c r="C31" s="9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11:L49"/>
  <sheetViews>
    <sheetView showGridLines="0" zoomScale="150" zoomScaleNormal="150" workbookViewId="0" topLeftCell="F15">
      <selection activeCell="Q70" sqref="Q70"/>
    </sheetView>
  </sheetViews>
  <sheetFormatPr defaultColWidth="8.125" defaultRowHeight="12.75"/>
  <sheetData>
    <row r="11" ht="12">
      <c r="L11" t="s">
        <v>98</v>
      </c>
    </row>
    <row r="36" ht="12">
      <c r="I36" t="s">
        <v>98</v>
      </c>
    </row>
    <row r="42" ht="12">
      <c r="J42" t="s">
        <v>485</v>
      </c>
    </row>
    <row r="49" ht="12">
      <c r="E49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7"/>
  <sheetViews>
    <sheetView showGridLines="0" zoomScale="150" zoomScaleNormal="150" workbookViewId="0" topLeftCell="A1">
      <selection activeCell="M6" sqref="M6"/>
    </sheetView>
  </sheetViews>
  <sheetFormatPr defaultColWidth="15.00390625" defaultRowHeight="12.75"/>
  <cols>
    <col min="1" max="1" width="1.37890625" style="271" customWidth="1"/>
    <col min="2" max="2" width="18.125" style="271" customWidth="1"/>
    <col min="3" max="3" width="4.125" style="271" customWidth="1"/>
    <col min="4" max="4" width="14.875" style="271" customWidth="1"/>
    <col min="5" max="5" width="4.00390625" style="271" customWidth="1"/>
    <col min="6" max="6" width="16.00390625" style="271" customWidth="1"/>
    <col min="7" max="7" width="4.00390625" style="271" customWidth="1"/>
    <col min="8" max="8" width="15.125" style="271" customWidth="1"/>
    <col min="9" max="9" width="4.00390625" style="271" customWidth="1"/>
    <col min="10" max="10" width="15.375" style="271" customWidth="1"/>
    <col min="11" max="11" width="13.125" style="271" customWidth="1"/>
    <col min="12" max="16384" width="15.00390625" style="271" customWidth="1"/>
  </cols>
  <sheetData>
    <row r="2" spans="2:10" ht="16.5">
      <c r="B2" s="272" t="s">
        <v>128</v>
      </c>
      <c r="C2" s="272"/>
      <c r="J2" s="273"/>
    </row>
    <row r="3" ht="15" customHeight="1" thickBot="1">
      <c r="J3" s="273"/>
    </row>
    <row r="4" spans="2:11" ht="18" customHeight="1" thickBot="1">
      <c r="B4" s="274"/>
      <c r="C4" s="354" t="s">
        <v>129</v>
      </c>
      <c r="D4" s="355" t="s">
        <v>130</v>
      </c>
      <c r="E4" s="356" t="s">
        <v>129</v>
      </c>
      <c r="F4" s="355" t="s">
        <v>131</v>
      </c>
      <c r="G4" s="356" t="s">
        <v>129</v>
      </c>
      <c r="H4" s="355" t="s">
        <v>132</v>
      </c>
      <c r="I4" s="356" t="s">
        <v>129</v>
      </c>
      <c r="J4" s="355" t="s">
        <v>133</v>
      </c>
      <c r="K4" s="390" t="s">
        <v>134</v>
      </c>
    </row>
    <row r="5" spans="1:11" ht="79.5" customHeight="1" thickBot="1">
      <c r="A5" s="271" t="s">
        <v>98</v>
      </c>
      <c r="B5" s="387" t="s">
        <v>34</v>
      </c>
      <c r="C5" s="388">
        <v>4</v>
      </c>
      <c r="D5" s="389" t="s">
        <v>250</v>
      </c>
      <c r="E5" s="388">
        <v>2</v>
      </c>
      <c r="F5" s="389" t="s">
        <v>400</v>
      </c>
      <c r="G5" s="388">
        <v>4</v>
      </c>
      <c r="H5" s="389" t="s">
        <v>489</v>
      </c>
      <c r="I5" s="388">
        <v>4</v>
      </c>
      <c r="J5" s="389" t="s">
        <v>261</v>
      </c>
      <c r="K5" s="389" t="s">
        <v>486</v>
      </c>
    </row>
    <row r="6" spans="2:11" ht="79.5" customHeight="1" thickBot="1">
      <c r="B6" s="387" t="s">
        <v>7</v>
      </c>
      <c r="C6" s="388">
        <v>4</v>
      </c>
      <c r="D6" s="389" t="s">
        <v>252</v>
      </c>
      <c r="E6" s="388">
        <v>4</v>
      </c>
      <c r="F6" s="389" t="s">
        <v>251</v>
      </c>
      <c r="G6" s="388">
        <v>1</v>
      </c>
      <c r="H6" s="389" t="s">
        <v>488</v>
      </c>
      <c r="I6" s="388">
        <v>4</v>
      </c>
      <c r="J6" s="389" t="s">
        <v>253</v>
      </c>
      <c r="K6" s="389" t="s">
        <v>487</v>
      </c>
    </row>
    <row r="7" spans="2:11" ht="79.5" customHeight="1" thickBot="1">
      <c r="B7" s="387" t="s">
        <v>389</v>
      </c>
      <c r="C7" s="388"/>
      <c r="D7" s="389"/>
      <c r="E7" s="388">
        <v>4</v>
      </c>
      <c r="F7" s="389" t="s">
        <v>538</v>
      </c>
      <c r="G7" s="388" t="s">
        <v>135</v>
      </c>
      <c r="H7" s="389" t="s">
        <v>135</v>
      </c>
      <c r="I7" s="388"/>
      <c r="J7" s="389"/>
      <c r="K7" s="391"/>
    </row>
  </sheetData>
  <printOptions/>
  <pageMargins left="0.59" right="0.59" top="0.98" bottom="0.98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43"/>
  <sheetViews>
    <sheetView showGridLines="0" zoomScale="150" zoomScaleNormal="150" workbookViewId="0" topLeftCell="A1">
      <selection activeCell="F38" sqref="F38"/>
    </sheetView>
  </sheetViews>
  <sheetFormatPr defaultColWidth="15.00390625" defaultRowHeight="12.75"/>
  <cols>
    <col min="1" max="1" width="1.37890625" style="277" customWidth="1"/>
    <col min="2" max="3" width="15.00390625" style="277" customWidth="1"/>
    <col min="4" max="4" width="3.625" style="277" customWidth="1"/>
    <col min="5" max="15" width="9.375" style="277" customWidth="1"/>
    <col min="16" max="16384" width="15.00390625" style="277" customWidth="1"/>
  </cols>
  <sheetData>
    <row r="2" spans="2:15" ht="16.5">
      <c r="B2" s="441" t="s">
        <v>136</v>
      </c>
      <c r="C2" s="441"/>
      <c r="D2" s="441"/>
      <c r="E2" s="278"/>
      <c r="F2" s="278"/>
      <c r="G2" s="278"/>
      <c r="H2" s="278"/>
      <c r="I2" s="278"/>
      <c r="J2" s="279"/>
      <c r="K2" s="279"/>
      <c r="L2" s="279"/>
      <c r="M2" s="279"/>
      <c r="N2" s="279"/>
      <c r="O2" s="279"/>
    </row>
    <row r="3" spans="2:15" ht="12">
      <c r="B3" s="280" t="s">
        <v>137</v>
      </c>
      <c r="C3" s="280" t="s">
        <v>89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2:15" ht="12"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2:15" ht="12.75">
      <c r="B5" s="273"/>
      <c r="C5" s="281" t="s">
        <v>138</v>
      </c>
      <c r="D5" s="281" t="s">
        <v>139</v>
      </c>
      <c r="E5" s="281" t="s">
        <v>140</v>
      </c>
      <c r="F5" s="281" t="s">
        <v>435</v>
      </c>
      <c r="G5" s="281" t="s">
        <v>435</v>
      </c>
      <c r="H5" s="281" t="s">
        <v>435</v>
      </c>
      <c r="I5" s="281" t="s">
        <v>435</v>
      </c>
      <c r="J5" s="281" t="s">
        <v>436</v>
      </c>
      <c r="K5" s="281" t="s">
        <v>437</v>
      </c>
      <c r="L5" s="281" t="s">
        <v>438</v>
      </c>
      <c r="M5" s="281" t="s">
        <v>439</v>
      </c>
      <c r="N5" s="281" t="s">
        <v>438</v>
      </c>
      <c r="O5" s="281" t="s">
        <v>439</v>
      </c>
    </row>
    <row r="6" spans="2:15" ht="13.5" thickBot="1">
      <c r="B6" s="273"/>
      <c r="C6" s="282"/>
      <c r="D6" s="282"/>
      <c r="E6" s="282"/>
      <c r="F6" s="283" t="s">
        <v>104</v>
      </c>
      <c r="G6" s="283" t="s">
        <v>440</v>
      </c>
      <c r="H6" s="283" t="s">
        <v>441</v>
      </c>
      <c r="I6" s="283" t="s">
        <v>102</v>
      </c>
      <c r="J6" s="283" t="s">
        <v>442</v>
      </c>
      <c r="K6" s="283" t="s">
        <v>442</v>
      </c>
      <c r="L6" s="283" t="s">
        <v>443</v>
      </c>
      <c r="M6" s="283" t="s">
        <v>248</v>
      </c>
      <c r="N6" s="283" t="s">
        <v>444</v>
      </c>
      <c r="O6" s="283" t="s">
        <v>444</v>
      </c>
    </row>
    <row r="7" spans="2:15" ht="12.75" thickTop="1">
      <c r="B7" s="352" t="s">
        <v>530</v>
      </c>
      <c r="C7" s="276" t="s">
        <v>445</v>
      </c>
      <c r="D7" s="284" t="s">
        <v>446</v>
      </c>
      <c r="E7" s="284" t="s">
        <v>296</v>
      </c>
      <c r="F7" s="284">
        <v>40</v>
      </c>
      <c r="G7" s="284">
        <v>12</v>
      </c>
      <c r="H7" s="284">
        <v>0</v>
      </c>
      <c r="I7" s="284">
        <f>F7+G7+H7</f>
        <v>52</v>
      </c>
      <c r="J7" s="284">
        <v>0</v>
      </c>
      <c r="K7" s="284">
        <v>115</v>
      </c>
      <c r="L7" s="284">
        <v>3000</v>
      </c>
      <c r="M7" s="284">
        <v>145000</v>
      </c>
      <c r="N7" s="285">
        <f aca="true" t="shared" si="0" ref="N7:N18">L7/K7</f>
        <v>26.08695652173913</v>
      </c>
      <c r="O7" s="353">
        <f aca="true" t="shared" si="1" ref="O7:O18">M7/K7</f>
        <v>1260.8695652173913</v>
      </c>
    </row>
    <row r="8" spans="2:15" ht="12">
      <c r="B8" s="352" t="s">
        <v>529</v>
      </c>
      <c r="C8" s="276" t="s">
        <v>490</v>
      </c>
      <c r="D8" s="284" t="s">
        <v>446</v>
      </c>
      <c r="E8" s="284" t="s">
        <v>447</v>
      </c>
      <c r="F8" s="284">
        <v>0</v>
      </c>
      <c r="G8" s="284">
        <v>50</v>
      </c>
      <c r="H8" s="284">
        <v>0</v>
      </c>
      <c r="I8" s="284">
        <f aca="true" t="shared" si="2" ref="I8:I18">F8+G8+H8</f>
        <v>50</v>
      </c>
      <c r="J8" s="284">
        <v>0</v>
      </c>
      <c r="K8" s="284">
        <v>98</v>
      </c>
      <c r="L8" s="284">
        <v>2500</v>
      </c>
      <c r="M8" s="284">
        <v>130000</v>
      </c>
      <c r="N8" s="285">
        <f t="shared" si="0"/>
        <v>25.510204081632654</v>
      </c>
      <c r="O8" s="353">
        <f t="shared" si="1"/>
        <v>1326.530612244898</v>
      </c>
    </row>
    <row r="9" spans="2:15" ht="12">
      <c r="B9" s="352" t="s">
        <v>527</v>
      </c>
      <c r="C9" s="276" t="s">
        <v>491</v>
      </c>
      <c r="D9" s="284" t="s">
        <v>446</v>
      </c>
      <c r="E9" s="284" t="s">
        <v>295</v>
      </c>
      <c r="F9" s="284">
        <v>80</v>
      </c>
      <c r="G9" s="284">
        <v>0</v>
      </c>
      <c r="H9" s="284">
        <v>0</v>
      </c>
      <c r="I9" s="284">
        <f t="shared" si="2"/>
        <v>80</v>
      </c>
      <c r="J9" s="284">
        <v>0</v>
      </c>
      <c r="K9" s="284">
        <v>135</v>
      </c>
      <c r="L9" s="284">
        <v>3850</v>
      </c>
      <c r="M9" s="284">
        <v>110000</v>
      </c>
      <c r="N9" s="285">
        <f t="shared" si="0"/>
        <v>28.51851851851852</v>
      </c>
      <c r="O9" s="353">
        <f t="shared" si="1"/>
        <v>814.8148148148148</v>
      </c>
    </row>
    <row r="10" spans="2:15" ht="12">
      <c r="B10" s="352" t="s">
        <v>528</v>
      </c>
      <c r="C10" s="276" t="s">
        <v>445</v>
      </c>
      <c r="D10" s="284" t="s">
        <v>446</v>
      </c>
      <c r="E10" s="284" t="s">
        <v>447</v>
      </c>
      <c r="F10" s="284">
        <v>0</v>
      </c>
      <c r="G10" s="284">
        <v>65</v>
      </c>
      <c r="H10" s="284">
        <v>0</v>
      </c>
      <c r="I10" s="284">
        <f t="shared" si="2"/>
        <v>65</v>
      </c>
      <c r="J10" s="284">
        <v>0</v>
      </c>
      <c r="K10" s="284">
        <v>164</v>
      </c>
      <c r="L10" s="284">
        <v>5200</v>
      </c>
      <c r="M10" s="284">
        <v>186000</v>
      </c>
      <c r="N10" s="285">
        <f t="shared" si="0"/>
        <v>31.70731707317073</v>
      </c>
      <c r="O10" s="353">
        <f t="shared" si="1"/>
        <v>1134.1463414634147</v>
      </c>
    </row>
    <row r="11" spans="2:15" ht="12">
      <c r="B11" s="352" t="s">
        <v>522</v>
      </c>
      <c r="C11" s="276" t="s">
        <v>445</v>
      </c>
      <c r="D11" s="284" t="s">
        <v>446</v>
      </c>
      <c r="E11" s="284" t="s">
        <v>295</v>
      </c>
      <c r="F11" s="284">
        <v>82</v>
      </c>
      <c r="G11" s="284">
        <v>0</v>
      </c>
      <c r="H11" s="284">
        <v>0</v>
      </c>
      <c r="I11" s="284">
        <f t="shared" si="2"/>
        <v>82</v>
      </c>
      <c r="J11" s="284">
        <v>0</v>
      </c>
      <c r="K11" s="284">
        <v>94</v>
      </c>
      <c r="L11" s="284">
        <v>2950</v>
      </c>
      <c r="M11" s="284">
        <v>144000</v>
      </c>
      <c r="N11" s="285">
        <f t="shared" si="0"/>
        <v>31.382978723404257</v>
      </c>
      <c r="O11" s="353">
        <f t="shared" si="1"/>
        <v>1531.9148936170213</v>
      </c>
    </row>
    <row r="12" spans="2:15" ht="12">
      <c r="B12" s="352" t="s">
        <v>526</v>
      </c>
      <c r="C12" s="276" t="s">
        <v>491</v>
      </c>
      <c r="D12" s="284" t="s">
        <v>446</v>
      </c>
      <c r="E12" s="284" t="s">
        <v>447</v>
      </c>
      <c r="F12" s="284">
        <v>110</v>
      </c>
      <c r="G12" s="284">
        <v>0</v>
      </c>
      <c r="H12" s="284">
        <v>0</v>
      </c>
      <c r="I12" s="284">
        <f t="shared" si="2"/>
        <v>110</v>
      </c>
      <c r="J12" s="284">
        <v>0</v>
      </c>
      <c r="K12" s="284">
        <v>210</v>
      </c>
      <c r="L12" s="284">
        <v>6750</v>
      </c>
      <c r="M12" s="284">
        <v>210000</v>
      </c>
      <c r="N12" s="285">
        <f t="shared" si="0"/>
        <v>32.142857142857146</v>
      </c>
      <c r="O12" s="353">
        <f t="shared" si="1"/>
        <v>1000</v>
      </c>
    </row>
    <row r="13" spans="2:15" ht="12">
      <c r="B13" s="352" t="s">
        <v>531</v>
      </c>
      <c r="C13" s="276" t="s">
        <v>445</v>
      </c>
      <c r="D13" s="284" t="s">
        <v>537</v>
      </c>
      <c r="E13" s="284" t="s">
        <v>296</v>
      </c>
      <c r="F13" s="284">
        <v>52</v>
      </c>
      <c r="G13" s="284">
        <v>0</v>
      </c>
      <c r="H13" s="284">
        <v>0</v>
      </c>
      <c r="I13" s="284">
        <f t="shared" si="2"/>
        <v>52</v>
      </c>
      <c r="J13" s="284">
        <v>0</v>
      </c>
      <c r="K13" s="284">
        <v>155</v>
      </c>
      <c r="L13" s="284">
        <v>6600</v>
      </c>
      <c r="M13" s="284">
        <v>145000</v>
      </c>
      <c r="N13" s="285">
        <f t="shared" si="0"/>
        <v>42.58064516129032</v>
      </c>
      <c r="O13" s="353">
        <f t="shared" si="1"/>
        <v>935.483870967742</v>
      </c>
    </row>
    <row r="14" spans="2:15" ht="12">
      <c r="B14" s="352" t="s">
        <v>532</v>
      </c>
      <c r="C14" s="276" t="s">
        <v>492</v>
      </c>
      <c r="D14" s="284" t="s">
        <v>537</v>
      </c>
      <c r="E14" s="284" t="s">
        <v>396</v>
      </c>
      <c r="F14" s="284">
        <v>38</v>
      </c>
      <c r="G14" s="284">
        <v>0</v>
      </c>
      <c r="H14" s="284">
        <v>0</v>
      </c>
      <c r="I14" s="284">
        <f t="shared" si="2"/>
        <v>38</v>
      </c>
      <c r="J14" s="284">
        <v>0</v>
      </c>
      <c r="K14" s="284">
        <v>104</v>
      </c>
      <c r="L14" s="284">
        <v>4300</v>
      </c>
      <c r="M14" s="284">
        <v>110000</v>
      </c>
      <c r="N14" s="285">
        <f t="shared" si="0"/>
        <v>41.34615384615385</v>
      </c>
      <c r="O14" s="353">
        <f t="shared" si="1"/>
        <v>1057.6923076923076</v>
      </c>
    </row>
    <row r="15" spans="2:15" ht="12">
      <c r="B15" s="352" t="s">
        <v>533</v>
      </c>
      <c r="C15" s="276" t="s">
        <v>491</v>
      </c>
      <c r="D15" s="284" t="s">
        <v>446</v>
      </c>
      <c r="E15" s="284" t="s">
        <v>447</v>
      </c>
      <c r="F15" s="284">
        <v>0</v>
      </c>
      <c r="G15" s="284">
        <v>54</v>
      </c>
      <c r="H15" s="284">
        <v>0</v>
      </c>
      <c r="I15" s="284">
        <f t="shared" si="2"/>
        <v>54</v>
      </c>
      <c r="J15" s="284">
        <v>0</v>
      </c>
      <c r="K15" s="284">
        <v>120</v>
      </c>
      <c r="L15" s="284">
        <v>2950</v>
      </c>
      <c r="M15" s="284">
        <v>107000</v>
      </c>
      <c r="N15" s="285">
        <f t="shared" si="0"/>
        <v>24.583333333333332</v>
      </c>
      <c r="O15" s="353">
        <f t="shared" si="1"/>
        <v>891.6666666666666</v>
      </c>
    </row>
    <row r="16" spans="2:15" ht="12">
      <c r="B16" s="352" t="s">
        <v>534</v>
      </c>
      <c r="C16" s="276" t="s">
        <v>445</v>
      </c>
      <c r="D16" s="284" t="s">
        <v>446</v>
      </c>
      <c r="E16" s="284" t="s">
        <v>296</v>
      </c>
      <c r="F16" s="284">
        <v>50</v>
      </c>
      <c r="G16" s="284">
        <v>0</v>
      </c>
      <c r="H16" s="284">
        <v>0</v>
      </c>
      <c r="I16" s="284">
        <f t="shared" si="2"/>
        <v>50</v>
      </c>
      <c r="J16" s="284">
        <v>0</v>
      </c>
      <c r="K16" s="284">
        <v>180</v>
      </c>
      <c r="L16" s="284">
        <v>6700</v>
      </c>
      <c r="M16" s="284">
        <v>230000</v>
      </c>
      <c r="N16" s="285">
        <f t="shared" si="0"/>
        <v>37.22222222222222</v>
      </c>
      <c r="O16" s="353">
        <f t="shared" si="1"/>
        <v>1277.7777777777778</v>
      </c>
    </row>
    <row r="17" spans="2:15" ht="12">
      <c r="B17" s="352" t="s">
        <v>535</v>
      </c>
      <c r="C17" s="276" t="s">
        <v>493</v>
      </c>
      <c r="D17" s="284" t="s">
        <v>395</v>
      </c>
      <c r="E17" s="284" t="s">
        <v>296</v>
      </c>
      <c r="F17" s="284">
        <v>24</v>
      </c>
      <c r="G17" s="284">
        <v>22</v>
      </c>
      <c r="H17" s="284">
        <v>0</v>
      </c>
      <c r="I17" s="284">
        <f t="shared" si="2"/>
        <v>46</v>
      </c>
      <c r="J17" s="284">
        <v>0</v>
      </c>
      <c r="K17" s="284">
        <v>110</v>
      </c>
      <c r="L17" s="284">
        <v>2900</v>
      </c>
      <c r="M17" s="284">
        <v>165000</v>
      </c>
      <c r="N17" s="285">
        <f t="shared" si="0"/>
        <v>26.363636363636363</v>
      </c>
      <c r="O17" s="353">
        <f t="shared" si="1"/>
        <v>1500</v>
      </c>
    </row>
    <row r="18" spans="2:15" ht="12">
      <c r="B18" s="352" t="s">
        <v>536</v>
      </c>
      <c r="C18" s="276" t="s">
        <v>445</v>
      </c>
      <c r="D18" s="284" t="s">
        <v>446</v>
      </c>
      <c r="E18" s="284" t="s">
        <v>447</v>
      </c>
      <c r="F18" s="284">
        <v>0</v>
      </c>
      <c r="G18" s="284">
        <v>86</v>
      </c>
      <c r="H18" s="284">
        <v>0</v>
      </c>
      <c r="I18" s="284">
        <f t="shared" si="2"/>
        <v>86</v>
      </c>
      <c r="J18" s="284">
        <v>0</v>
      </c>
      <c r="K18" s="284">
        <v>88</v>
      </c>
      <c r="L18" s="284">
        <v>3100</v>
      </c>
      <c r="M18" s="284">
        <v>152000</v>
      </c>
      <c r="N18" s="285">
        <f t="shared" si="0"/>
        <v>35.22727272727273</v>
      </c>
      <c r="O18" s="353">
        <f t="shared" si="1"/>
        <v>1727.2727272727273</v>
      </c>
    </row>
    <row r="22" spans="10:12" ht="12">
      <c r="J22" s="277" t="s">
        <v>520</v>
      </c>
      <c r="L22" s="277" t="s">
        <v>519</v>
      </c>
    </row>
    <row r="32" ht="12">
      <c r="N32" s="277" t="s">
        <v>98</v>
      </c>
    </row>
    <row r="43" ht="12">
      <c r="P43" s="277" t="s">
        <v>98</v>
      </c>
    </row>
  </sheetData>
  <mergeCells count="1">
    <mergeCell ref="B2:D2"/>
  </mergeCells>
  <printOptions/>
  <pageMargins left="0.1968503937007874" right="0.1968503937007874" top="0.3937007874015748" bottom="0.3937007874015748" header="0.5118110236220472" footer="0.5118110236220472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="150" zoomScaleNormal="150" workbookViewId="0" topLeftCell="A1">
      <selection activeCell="G12" sqref="G12"/>
    </sheetView>
  </sheetViews>
  <sheetFormatPr defaultColWidth="15.00390625" defaultRowHeight="12.75"/>
  <cols>
    <col min="1" max="1" width="1.12109375" style="273" customWidth="1"/>
    <col min="2" max="2" width="16.625" style="273" customWidth="1"/>
    <col min="3" max="3" width="15.625" style="273" customWidth="1"/>
    <col min="4" max="4" width="14.625" style="273" customWidth="1"/>
    <col min="5" max="5" width="15.625" style="273" customWidth="1"/>
    <col min="6" max="6" width="14.00390625" style="273" customWidth="1"/>
    <col min="7" max="7" width="16.375" style="273" customWidth="1"/>
    <col min="8" max="8" width="15.50390625" style="273" customWidth="1"/>
    <col min="9" max="9" width="15.375" style="273" customWidth="1"/>
    <col min="10" max="16384" width="15.00390625" style="273" customWidth="1"/>
  </cols>
  <sheetData>
    <row r="2" spans="2:8" ht="16.5">
      <c r="B2" s="272" t="s">
        <v>297</v>
      </c>
      <c r="C2" s="271"/>
      <c r="D2" s="271"/>
      <c r="E2" s="271"/>
      <c r="F2" s="271"/>
      <c r="G2" s="271"/>
      <c r="H2" s="271"/>
    </row>
    <row r="3" spans="2:8" ht="12.75">
      <c r="B3" s="271"/>
      <c r="C3" s="271"/>
      <c r="D3" s="271"/>
      <c r="E3" s="271"/>
      <c r="F3" s="271"/>
      <c r="G3" s="271"/>
      <c r="H3" s="271"/>
    </row>
    <row r="4" spans="3:9" ht="12.75">
      <c r="C4" s="392" t="s">
        <v>298</v>
      </c>
      <c r="D4" s="392" t="s">
        <v>299</v>
      </c>
      <c r="E4" s="392" t="s">
        <v>300</v>
      </c>
      <c r="F4" s="392" t="s">
        <v>301</v>
      </c>
      <c r="G4" s="393" t="s">
        <v>186</v>
      </c>
      <c r="H4" s="392" t="s">
        <v>187</v>
      </c>
      <c r="I4" s="392" t="s">
        <v>188</v>
      </c>
    </row>
    <row r="5" spans="2:9" ht="49.5" customHeight="1">
      <c r="B5" s="275" t="s">
        <v>262</v>
      </c>
      <c r="C5" s="394" t="s">
        <v>331</v>
      </c>
      <c r="D5" s="394" t="s">
        <v>494</v>
      </c>
      <c r="E5" s="394" t="s">
        <v>466</v>
      </c>
      <c r="F5" s="394" t="s">
        <v>332</v>
      </c>
      <c r="G5" s="394" t="s">
        <v>498</v>
      </c>
      <c r="H5" s="394" t="s">
        <v>336</v>
      </c>
      <c r="I5" s="394" t="s">
        <v>497</v>
      </c>
    </row>
    <row r="6" spans="2:9" ht="49.5" customHeight="1">
      <c r="B6" s="275" t="s">
        <v>263</v>
      </c>
      <c r="C6" s="394" t="s">
        <v>322</v>
      </c>
      <c r="D6" s="394" t="s">
        <v>495</v>
      </c>
      <c r="E6" s="394" t="s">
        <v>320</v>
      </c>
      <c r="F6" s="394" t="s">
        <v>500</v>
      </c>
      <c r="G6" s="394" t="s">
        <v>333</v>
      </c>
      <c r="H6" s="394" t="s">
        <v>337</v>
      </c>
      <c r="I6" s="394" t="s">
        <v>339</v>
      </c>
    </row>
    <row r="7" spans="2:9" ht="49.5" customHeight="1">
      <c r="B7" s="275" t="s">
        <v>264</v>
      </c>
      <c r="C7" s="394" t="s">
        <v>323</v>
      </c>
      <c r="D7" s="394" t="s">
        <v>496</v>
      </c>
      <c r="E7" s="394" t="s">
        <v>321</v>
      </c>
      <c r="F7" s="394" t="s">
        <v>501</v>
      </c>
      <c r="G7" s="394" t="s">
        <v>334</v>
      </c>
      <c r="H7" s="394" t="s">
        <v>338</v>
      </c>
      <c r="I7" s="394" t="s">
        <v>340</v>
      </c>
    </row>
    <row r="8" spans="2:9" ht="49.5" customHeight="1">
      <c r="B8" s="275" t="s">
        <v>491</v>
      </c>
      <c r="C8" s="394" t="s">
        <v>330</v>
      </c>
      <c r="D8" s="394" t="s">
        <v>495</v>
      </c>
      <c r="E8" s="394" t="s">
        <v>499</v>
      </c>
      <c r="F8" s="394" t="s">
        <v>502</v>
      </c>
      <c r="G8" s="394" t="s">
        <v>335</v>
      </c>
      <c r="H8" s="394" t="s">
        <v>341</v>
      </c>
      <c r="I8" s="394" t="s">
        <v>339</v>
      </c>
    </row>
  </sheetData>
  <printOptions/>
  <pageMargins left="0.17592592592592593" right="0.3937007874015748" top="0.3937007874015748" bottom="0.3937007874015748" header="0.5118110236220472" footer="0.5118110236220472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12"/>
  <sheetViews>
    <sheetView showGridLines="0" tabSelected="1" zoomScale="150" zoomScaleNormal="150" workbookViewId="0" topLeftCell="A1">
      <selection activeCell="D10" sqref="D10"/>
    </sheetView>
  </sheetViews>
  <sheetFormatPr defaultColWidth="15.00390625" defaultRowHeight="12.75"/>
  <cols>
    <col min="1" max="1" width="0.6171875" style="271" customWidth="1"/>
    <col min="2" max="2" width="11.625" style="271" customWidth="1"/>
    <col min="3" max="4" width="10.875" style="271" customWidth="1"/>
    <col min="5" max="5" width="9.625" style="271" customWidth="1"/>
    <col min="6" max="6" width="3.125" style="271" customWidth="1"/>
    <col min="7" max="7" width="4.125" style="271" customWidth="1"/>
    <col min="8" max="8" width="3.875" style="271" customWidth="1"/>
    <col min="9" max="9" width="10.875" style="271" customWidth="1"/>
    <col min="10" max="10" width="9.375" style="271" customWidth="1"/>
    <col min="11" max="11" width="2.625" style="271" customWidth="1"/>
    <col min="12" max="12" width="9.375" style="271" customWidth="1"/>
    <col min="13" max="13" width="9.625" style="271" customWidth="1"/>
    <col min="14" max="14" width="10.875" style="271" customWidth="1"/>
    <col min="15" max="15" width="6.625" style="271" customWidth="1"/>
    <col min="16" max="16" width="6.875" style="271" customWidth="1"/>
    <col min="17" max="16384" width="15.00390625" style="271" customWidth="1"/>
  </cols>
  <sheetData>
    <row r="2" spans="2:11" ht="16.5">
      <c r="B2" s="272" t="s">
        <v>189</v>
      </c>
      <c r="G2" s="273"/>
      <c r="I2" s="273"/>
      <c r="K2" s="273"/>
    </row>
    <row r="3" spans="7:11" ht="9.75" customHeight="1">
      <c r="G3" s="273"/>
      <c r="I3" s="273"/>
      <c r="K3" s="273"/>
    </row>
    <row r="4" spans="2:16" ht="19.5" customHeight="1">
      <c r="B4" s="273"/>
      <c r="C4" s="287" t="s">
        <v>190</v>
      </c>
      <c r="D4" s="287" t="s">
        <v>191</v>
      </c>
      <c r="E4" s="288" t="s">
        <v>192</v>
      </c>
      <c r="F4" s="287" t="s">
        <v>138</v>
      </c>
      <c r="G4" s="287" t="s">
        <v>439</v>
      </c>
      <c r="H4" s="287" t="s">
        <v>193</v>
      </c>
      <c r="I4" s="287" t="s">
        <v>316</v>
      </c>
      <c r="J4" s="287" t="s">
        <v>194</v>
      </c>
      <c r="K4" s="288" t="s">
        <v>195</v>
      </c>
      <c r="L4" s="288" t="s">
        <v>347</v>
      </c>
      <c r="M4" s="287" t="s">
        <v>348</v>
      </c>
      <c r="N4" s="287" t="s">
        <v>349</v>
      </c>
      <c r="O4" s="289" t="s">
        <v>420</v>
      </c>
      <c r="P4" s="289" t="s">
        <v>350</v>
      </c>
    </row>
    <row r="5" spans="2:16" ht="10.5" customHeight="1">
      <c r="B5" s="273"/>
      <c r="C5" s="286"/>
      <c r="D5" s="286"/>
      <c r="E5" s="290" t="s">
        <v>98</v>
      </c>
      <c r="F5" s="286" t="s">
        <v>129</v>
      </c>
      <c r="G5" s="290" t="s">
        <v>129</v>
      </c>
      <c r="H5" s="286" t="s">
        <v>129</v>
      </c>
      <c r="I5" s="286" t="s">
        <v>129</v>
      </c>
      <c r="J5" s="286" t="s">
        <v>129</v>
      </c>
      <c r="K5" s="286" t="s">
        <v>129</v>
      </c>
      <c r="L5" s="286" t="s">
        <v>129</v>
      </c>
      <c r="M5" s="286"/>
      <c r="N5" s="286" t="s">
        <v>98</v>
      </c>
      <c r="O5" s="291">
        <v>1000</v>
      </c>
      <c r="P5" s="292" t="s">
        <v>351</v>
      </c>
    </row>
    <row r="6" spans="2:16" ht="39.75" customHeight="1">
      <c r="B6" s="293" t="s">
        <v>477</v>
      </c>
      <c r="C6" s="395" t="s">
        <v>342</v>
      </c>
      <c r="D6" s="395" t="s">
        <v>472</v>
      </c>
      <c r="E6" s="395" t="s">
        <v>345</v>
      </c>
      <c r="F6" s="395">
        <v>3</v>
      </c>
      <c r="G6" s="396">
        <v>4</v>
      </c>
      <c r="H6" s="395">
        <v>4</v>
      </c>
      <c r="I6" s="395" t="s">
        <v>399</v>
      </c>
      <c r="J6" s="395" t="s">
        <v>403</v>
      </c>
      <c r="K6" s="396">
        <v>3</v>
      </c>
      <c r="L6" s="395" t="s">
        <v>257</v>
      </c>
      <c r="M6" s="395" t="s">
        <v>415</v>
      </c>
      <c r="N6" s="395" t="s">
        <v>476</v>
      </c>
      <c r="O6" s="396" t="s">
        <v>421</v>
      </c>
      <c r="P6" s="396">
        <v>4</v>
      </c>
    </row>
    <row r="7" spans="2:16" ht="39.75" customHeight="1">
      <c r="B7" s="293" t="s">
        <v>524</v>
      </c>
      <c r="C7" s="395" t="s">
        <v>344</v>
      </c>
      <c r="D7" s="395" t="s">
        <v>430</v>
      </c>
      <c r="E7" s="395" t="s">
        <v>346</v>
      </c>
      <c r="F7" s="395">
        <v>4</v>
      </c>
      <c r="G7" s="396">
        <v>5</v>
      </c>
      <c r="H7" s="395">
        <v>4</v>
      </c>
      <c r="I7" s="395" t="s">
        <v>398</v>
      </c>
      <c r="J7" s="395" t="s">
        <v>390</v>
      </c>
      <c r="K7" s="396">
        <v>3</v>
      </c>
      <c r="L7" s="395" t="s">
        <v>258</v>
      </c>
      <c r="M7" s="395" t="s">
        <v>414</v>
      </c>
      <c r="N7" s="395" t="s">
        <v>427</v>
      </c>
      <c r="O7" s="396" t="s">
        <v>422</v>
      </c>
      <c r="P7" s="396">
        <v>8</v>
      </c>
    </row>
    <row r="8" spans="2:16" ht="39.75" customHeight="1">
      <c r="B8" s="293" t="s">
        <v>523</v>
      </c>
      <c r="C8" s="395" t="s">
        <v>479</v>
      </c>
      <c r="D8" s="395" t="s">
        <v>474</v>
      </c>
      <c r="E8" s="395" t="s">
        <v>346</v>
      </c>
      <c r="F8" s="395">
        <v>3</v>
      </c>
      <c r="G8" s="396">
        <v>4</v>
      </c>
      <c r="H8" s="395">
        <v>3</v>
      </c>
      <c r="I8" s="395" t="s">
        <v>433</v>
      </c>
      <c r="J8" s="395" t="s">
        <v>391</v>
      </c>
      <c r="K8" s="396">
        <v>4</v>
      </c>
      <c r="L8" s="395" t="s">
        <v>259</v>
      </c>
      <c r="M8" s="395" t="s">
        <v>413</v>
      </c>
      <c r="N8" s="395" t="s">
        <v>429</v>
      </c>
      <c r="O8" s="395" t="s">
        <v>423</v>
      </c>
      <c r="P8" s="396">
        <v>6</v>
      </c>
    </row>
    <row r="9" spans="2:16" ht="39.75" customHeight="1">
      <c r="B9" s="293" t="s">
        <v>480</v>
      </c>
      <c r="C9" s="396" t="s">
        <v>478</v>
      </c>
      <c r="D9" s="396" t="s">
        <v>475</v>
      </c>
      <c r="E9" s="395" t="s">
        <v>346</v>
      </c>
      <c r="F9" s="395">
        <v>2</v>
      </c>
      <c r="G9" s="396">
        <v>5</v>
      </c>
      <c r="H9" s="395">
        <v>3</v>
      </c>
      <c r="I9" s="395" t="s">
        <v>540</v>
      </c>
      <c r="J9" s="395" t="s">
        <v>392</v>
      </c>
      <c r="K9" s="396">
        <v>5</v>
      </c>
      <c r="L9" s="395" t="s">
        <v>408</v>
      </c>
      <c r="M9" s="395" t="s">
        <v>412</v>
      </c>
      <c r="N9" s="395" t="s">
        <v>418</v>
      </c>
      <c r="O9" s="396" t="s">
        <v>421</v>
      </c>
      <c r="P9" s="396">
        <v>4</v>
      </c>
    </row>
    <row r="10" spans="2:16" ht="39.75" customHeight="1">
      <c r="B10" s="293" t="s">
        <v>521</v>
      </c>
      <c r="C10" s="396" t="s">
        <v>343</v>
      </c>
      <c r="D10" s="395" t="s">
        <v>431</v>
      </c>
      <c r="E10" s="395" t="s">
        <v>346</v>
      </c>
      <c r="F10" s="395">
        <v>5</v>
      </c>
      <c r="G10" s="396">
        <v>4</v>
      </c>
      <c r="H10" s="396">
        <v>4</v>
      </c>
      <c r="I10" s="396" t="s">
        <v>401</v>
      </c>
      <c r="J10" s="395" t="s">
        <v>393</v>
      </c>
      <c r="K10" s="396">
        <v>4</v>
      </c>
      <c r="L10" s="396" t="s">
        <v>409</v>
      </c>
      <c r="M10" s="395" t="s">
        <v>411</v>
      </c>
      <c r="N10" s="395" t="s">
        <v>419</v>
      </c>
      <c r="O10" s="396" t="s">
        <v>425</v>
      </c>
      <c r="P10" s="396">
        <v>4</v>
      </c>
    </row>
    <row r="11" spans="2:16" ht="39.75" customHeight="1">
      <c r="B11" s="293" t="s">
        <v>525</v>
      </c>
      <c r="C11" s="395" t="s">
        <v>417</v>
      </c>
      <c r="D11" s="396" t="s">
        <v>432</v>
      </c>
      <c r="E11" s="395" t="s">
        <v>426</v>
      </c>
      <c r="F11" s="395">
        <v>3</v>
      </c>
      <c r="G11" s="396">
        <v>3</v>
      </c>
      <c r="H11" s="395">
        <v>3</v>
      </c>
      <c r="I11" s="396" t="s">
        <v>402</v>
      </c>
      <c r="J11" s="395" t="s">
        <v>394</v>
      </c>
      <c r="K11" s="396">
        <v>4</v>
      </c>
      <c r="L11" s="396" t="s">
        <v>410</v>
      </c>
      <c r="M11" s="395" t="s">
        <v>416</v>
      </c>
      <c r="N11" s="395" t="s">
        <v>428</v>
      </c>
      <c r="O11" s="396" t="s">
        <v>424</v>
      </c>
      <c r="P11" s="396">
        <v>3</v>
      </c>
    </row>
    <row r="12" ht="9.75">
      <c r="F12" s="271" t="s">
        <v>98</v>
      </c>
    </row>
  </sheetData>
  <printOptions/>
  <pageMargins left="0.1968503937007874" right="0.1968503937007874" top="0.1968503937007874" bottom="0.1968503937007874" header="0.3937007874015748" footer="0.5118110236220472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28"/>
  <sheetViews>
    <sheetView showGridLines="0" zoomScale="125" zoomScaleNormal="125" workbookViewId="0" topLeftCell="A1">
      <selection activeCell="AH20" sqref="AH20"/>
    </sheetView>
  </sheetViews>
  <sheetFormatPr defaultColWidth="15.00390625" defaultRowHeight="12.75"/>
  <cols>
    <col min="1" max="1" width="2.625" style="273" customWidth="1"/>
    <col min="2" max="2" width="22.00390625" style="273" customWidth="1"/>
    <col min="3" max="3" width="5.00390625" style="273" customWidth="1"/>
    <col min="4" max="4" width="1.37890625" style="273" customWidth="1"/>
    <col min="5" max="5" width="14.375" style="273" customWidth="1"/>
    <col min="6" max="6" width="19.125" style="273" customWidth="1"/>
    <col min="7" max="7" width="2.375" style="273" customWidth="1"/>
    <col min="8" max="8" width="5.00390625" style="273" customWidth="1"/>
    <col min="9" max="18" width="2.375" style="273" customWidth="1"/>
    <col min="19" max="19" width="0.37109375" style="273" customWidth="1"/>
    <col min="20" max="29" width="2.375" style="273" customWidth="1"/>
    <col min="30" max="30" width="5.00390625" style="273" customWidth="1"/>
    <col min="31" max="16384" width="15.00390625" style="273" customWidth="1"/>
  </cols>
  <sheetData>
    <row r="2" spans="2:8" ht="16.5">
      <c r="B2" s="376" t="s">
        <v>352</v>
      </c>
      <c r="C2" s="272"/>
      <c r="D2" s="272"/>
      <c r="E2" s="272"/>
      <c r="F2" s="272"/>
      <c r="G2" s="272"/>
      <c r="H2" s="271"/>
    </row>
    <row r="3" spans="2:8" ht="12.75">
      <c r="B3" s="377"/>
      <c r="C3" s="271"/>
      <c r="D3" s="271"/>
      <c r="E3" s="271"/>
      <c r="F3" s="271"/>
      <c r="G3" s="271"/>
      <c r="H3" s="271"/>
    </row>
    <row r="4" spans="2:21" ht="13.5" thickBot="1">
      <c r="B4" s="378"/>
      <c r="N4" s="273" t="s">
        <v>98</v>
      </c>
      <c r="Q4" s="294"/>
      <c r="R4" s="294"/>
      <c r="S4" s="294"/>
      <c r="T4" s="295" t="s">
        <v>353</v>
      </c>
      <c r="U4" s="294"/>
    </row>
    <row r="5" spans="2:19" ht="15.75" customHeight="1">
      <c r="B5" s="379" t="s">
        <v>354</v>
      </c>
      <c r="C5" s="375" t="s">
        <v>355</v>
      </c>
      <c r="S5" s="297"/>
    </row>
    <row r="6" spans="2:29" ht="12.75">
      <c r="B6" s="378"/>
      <c r="I6" s="298"/>
      <c r="J6" s="298"/>
      <c r="K6" s="298"/>
      <c r="L6" s="298"/>
      <c r="M6" s="298"/>
      <c r="N6" s="298"/>
      <c r="O6" s="298"/>
      <c r="P6" s="298"/>
      <c r="Q6" s="298"/>
      <c r="R6" s="299"/>
      <c r="S6" s="300"/>
      <c r="T6" s="301"/>
      <c r="U6" s="298"/>
      <c r="V6" s="298"/>
      <c r="W6" s="298"/>
      <c r="X6" s="298"/>
      <c r="Y6" s="298"/>
      <c r="Z6" s="298"/>
      <c r="AA6" s="298"/>
      <c r="AB6" s="298"/>
      <c r="AC6" s="298"/>
    </row>
    <row r="7" spans="2:29" ht="12.75">
      <c r="B7" s="357" t="s">
        <v>481</v>
      </c>
      <c r="C7" s="298">
        <v>1</v>
      </c>
      <c r="I7" s="298"/>
      <c r="J7" s="298"/>
      <c r="K7" s="298"/>
      <c r="L7" s="298"/>
      <c r="M7" s="298"/>
      <c r="N7" s="298"/>
      <c r="O7" s="298"/>
      <c r="P7" s="298"/>
      <c r="Q7" s="298"/>
      <c r="R7" s="299"/>
      <c r="S7" s="300"/>
      <c r="T7" s="301"/>
      <c r="U7" s="298"/>
      <c r="V7" s="298"/>
      <c r="W7" s="298"/>
      <c r="X7" s="298"/>
      <c r="Y7" s="298"/>
      <c r="Z7" s="298"/>
      <c r="AA7" s="298"/>
      <c r="AB7" s="298"/>
      <c r="AC7" s="298"/>
    </row>
    <row r="8" spans="2:29" ht="12.75">
      <c r="B8" s="357" t="s">
        <v>265</v>
      </c>
      <c r="C8" s="298">
        <v>2</v>
      </c>
      <c r="I8" s="298"/>
      <c r="J8" s="298"/>
      <c r="K8" s="298"/>
      <c r="L8" s="298"/>
      <c r="M8" s="298"/>
      <c r="N8" s="298"/>
      <c r="O8" s="298"/>
      <c r="P8" s="298"/>
      <c r="Q8" s="298"/>
      <c r="R8" s="299"/>
      <c r="S8" s="300"/>
      <c r="T8" s="301"/>
      <c r="U8" s="298"/>
      <c r="V8" s="298"/>
      <c r="W8" s="298"/>
      <c r="X8" s="298"/>
      <c r="Y8" s="298"/>
      <c r="Z8" s="298"/>
      <c r="AA8" s="298"/>
      <c r="AB8" s="298"/>
      <c r="AC8" s="298"/>
    </row>
    <row r="9" spans="2:29" ht="12.75">
      <c r="B9" s="357" t="s">
        <v>523</v>
      </c>
      <c r="C9" s="298">
        <v>3</v>
      </c>
      <c r="I9" s="298"/>
      <c r="J9" s="298"/>
      <c r="K9" s="298"/>
      <c r="L9" s="298"/>
      <c r="M9" s="298"/>
      <c r="N9" s="298"/>
      <c r="O9" s="298"/>
      <c r="P9" s="298"/>
      <c r="Q9" s="298"/>
      <c r="R9" s="299"/>
      <c r="S9" s="300"/>
      <c r="T9" s="301"/>
      <c r="U9" s="298"/>
      <c r="V9" s="298"/>
      <c r="W9" s="298"/>
      <c r="X9" s="298"/>
      <c r="Y9" s="298"/>
      <c r="Z9" s="298"/>
      <c r="AA9" s="298"/>
      <c r="AB9" s="298"/>
      <c r="AC9" s="298"/>
    </row>
    <row r="10" spans="2:29" ht="12.75">
      <c r="B10" s="357" t="s">
        <v>482</v>
      </c>
      <c r="C10" s="298">
        <v>4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9"/>
      <c r="S10" s="300"/>
      <c r="T10" s="301"/>
      <c r="U10" s="298"/>
      <c r="V10" s="298">
        <v>5</v>
      </c>
      <c r="W10" s="298"/>
      <c r="X10" s="298"/>
      <c r="Y10" s="298"/>
      <c r="Z10" s="298"/>
      <c r="AA10" s="298"/>
      <c r="AB10" s="298"/>
      <c r="AC10" s="298"/>
    </row>
    <row r="11" spans="2:29" ht="12.75">
      <c r="B11" s="357" t="s">
        <v>521</v>
      </c>
      <c r="C11" s="298">
        <v>5</v>
      </c>
      <c r="I11" s="298"/>
      <c r="J11" s="298"/>
      <c r="K11" s="298"/>
      <c r="L11" s="298"/>
      <c r="M11" s="298"/>
      <c r="N11" s="298" t="s">
        <v>98</v>
      </c>
      <c r="O11" s="298"/>
      <c r="P11" s="298"/>
      <c r="Q11" s="298"/>
      <c r="R11" s="299"/>
      <c r="S11" s="300"/>
      <c r="T11" s="301"/>
      <c r="U11" s="298"/>
      <c r="V11" s="384" t="s">
        <v>98</v>
      </c>
      <c r="W11" s="298"/>
      <c r="X11" s="298"/>
      <c r="Y11" s="298"/>
      <c r="Z11" s="298"/>
      <c r="AA11" s="384" t="s">
        <v>98</v>
      </c>
      <c r="AB11" s="298"/>
      <c r="AC11" s="298"/>
    </row>
    <row r="12" spans="2:29" ht="12.75">
      <c r="B12" s="357" t="s">
        <v>525</v>
      </c>
      <c r="C12" s="298">
        <v>6</v>
      </c>
      <c r="I12" s="298"/>
      <c r="J12" s="298"/>
      <c r="K12" s="298"/>
      <c r="L12" s="298"/>
      <c r="M12" s="298"/>
      <c r="N12" s="298"/>
      <c r="O12" s="298"/>
      <c r="P12" s="298"/>
      <c r="Q12" s="298"/>
      <c r="R12" s="299"/>
      <c r="S12" s="300"/>
      <c r="T12" s="301"/>
      <c r="U12" s="298"/>
      <c r="V12" s="384" t="s">
        <v>98</v>
      </c>
      <c r="W12" s="298"/>
      <c r="X12" s="298"/>
      <c r="Y12" s="298"/>
      <c r="Z12" s="298"/>
      <c r="AA12" s="298"/>
      <c r="AB12" s="298"/>
      <c r="AC12" s="298"/>
    </row>
    <row r="13" spans="2:29" ht="12.75">
      <c r="B13" s="378" t="s">
        <v>98</v>
      </c>
      <c r="C13" s="303" t="s">
        <v>98</v>
      </c>
      <c r="I13" s="298"/>
      <c r="J13" s="298"/>
      <c r="K13" s="298"/>
      <c r="L13" s="298"/>
      <c r="M13" s="298"/>
      <c r="N13" s="298"/>
      <c r="O13" s="298"/>
      <c r="P13" s="298"/>
      <c r="Q13" s="298"/>
      <c r="R13" s="299"/>
      <c r="S13" s="300"/>
      <c r="T13" s="301"/>
      <c r="U13" s="298"/>
      <c r="V13" s="298">
        <v>6</v>
      </c>
      <c r="W13" s="298"/>
      <c r="X13" s="384" t="s">
        <v>98</v>
      </c>
      <c r="Y13" s="298"/>
      <c r="Z13" s="298"/>
      <c r="AA13" s="298"/>
      <c r="AB13" s="298"/>
      <c r="AC13" s="298"/>
    </row>
    <row r="14" spans="2:32" ht="12.75">
      <c r="B14" s="302" t="str">
        <f>Perustiedot!$C$5</f>
        <v>Ravintola C9</v>
      </c>
      <c r="C14" s="298" t="s">
        <v>356</v>
      </c>
      <c r="I14" s="298"/>
      <c r="J14" s="298"/>
      <c r="K14" s="298"/>
      <c r="L14" s="298"/>
      <c r="M14" s="298"/>
      <c r="N14" s="298"/>
      <c r="O14" s="298"/>
      <c r="P14" s="298"/>
      <c r="Q14" s="298">
        <v>3</v>
      </c>
      <c r="R14" s="299"/>
      <c r="S14" s="300"/>
      <c r="T14" s="397">
        <v>1</v>
      </c>
      <c r="U14" s="298"/>
      <c r="V14" s="384" t="s">
        <v>98</v>
      </c>
      <c r="W14" s="298"/>
      <c r="X14" s="384" t="s">
        <v>356</v>
      </c>
      <c r="Y14" s="298"/>
      <c r="Z14" s="298"/>
      <c r="AA14" s="298"/>
      <c r="AB14" s="298"/>
      <c r="AC14" s="298"/>
      <c r="AF14" s="294"/>
    </row>
    <row r="15" spans="2:32" ht="13.5" thickBot="1">
      <c r="B15" s="378" t="s">
        <v>98</v>
      </c>
      <c r="H15" s="295" t="s">
        <v>357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5"/>
      <c r="S15" s="300"/>
      <c r="T15" s="306"/>
      <c r="U15" s="398" t="s">
        <v>98</v>
      </c>
      <c r="V15" s="304"/>
      <c r="W15" s="304"/>
      <c r="X15" s="304"/>
      <c r="Y15" s="304"/>
      <c r="Z15" s="304"/>
      <c r="AA15" s="304"/>
      <c r="AB15" s="304"/>
      <c r="AC15" s="304"/>
      <c r="AD15" s="295" t="s">
        <v>353</v>
      </c>
      <c r="AE15" s="294"/>
      <c r="AF15" s="294"/>
    </row>
    <row r="16" spans="2:32" ht="1.5" customHeight="1" thickBot="1">
      <c r="B16" s="378" t="s">
        <v>98</v>
      </c>
      <c r="H16" s="307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9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10"/>
      <c r="AE16" s="294"/>
      <c r="AF16" s="294"/>
    </row>
    <row r="17" spans="2:32" ht="12.75">
      <c r="B17" s="379" t="s">
        <v>358</v>
      </c>
      <c r="C17" s="375"/>
      <c r="D17" s="375"/>
      <c r="E17" s="375"/>
      <c r="F17" s="375"/>
      <c r="I17" s="311"/>
      <c r="J17" s="311"/>
      <c r="K17" s="311"/>
      <c r="L17" s="311"/>
      <c r="M17" s="311"/>
      <c r="N17" s="311"/>
      <c r="O17" s="311"/>
      <c r="P17" s="311"/>
      <c r="Q17" s="311"/>
      <c r="R17" s="312"/>
      <c r="S17" s="300"/>
      <c r="T17" s="313"/>
      <c r="U17" s="311"/>
      <c r="V17" s="311"/>
      <c r="W17" s="311"/>
      <c r="X17" s="311"/>
      <c r="Y17" s="311"/>
      <c r="Z17" s="311"/>
      <c r="AA17" s="311"/>
      <c r="AB17" s="311"/>
      <c r="AC17" s="311"/>
      <c r="AE17" s="294"/>
      <c r="AF17" s="294"/>
    </row>
    <row r="18" spans="2:29" ht="12.75">
      <c r="B18" s="378"/>
      <c r="I18" s="298"/>
      <c r="J18" s="298"/>
      <c r="K18" s="298"/>
      <c r="L18" s="298"/>
      <c r="M18" s="298"/>
      <c r="N18" s="298"/>
      <c r="O18" s="298"/>
      <c r="P18" s="298"/>
      <c r="Q18" s="298"/>
      <c r="R18" s="299"/>
      <c r="S18" s="300"/>
      <c r="T18" s="301"/>
      <c r="U18" s="384">
        <v>2</v>
      </c>
      <c r="V18" s="298"/>
      <c r="W18" s="298"/>
      <c r="X18" s="298"/>
      <c r="Y18" s="298"/>
      <c r="Z18" s="298"/>
      <c r="AA18" s="384" t="s">
        <v>98</v>
      </c>
      <c r="AB18" s="298"/>
      <c r="AC18" s="298"/>
    </row>
    <row r="19" spans="2:29" ht="12.75">
      <c r="B19" s="380" t="s">
        <v>359</v>
      </c>
      <c r="I19" s="298"/>
      <c r="J19" s="298"/>
      <c r="K19" s="298"/>
      <c r="L19" s="298"/>
      <c r="M19" s="298"/>
      <c r="N19" s="298"/>
      <c r="O19" s="298"/>
      <c r="P19" s="298"/>
      <c r="Q19" s="298"/>
      <c r="R19" s="299"/>
      <c r="S19" s="300"/>
      <c r="T19" s="301"/>
      <c r="U19" s="384" t="s">
        <v>98</v>
      </c>
      <c r="V19" s="384" t="s">
        <v>98</v>
      </c>
      <c r="W19" s="298"/>
      <c r="X19" s="298"/>
      <c r="Y19" s="384" t="s">
        <v>98</v>
      </c>
      <c r="Z19" s="298"/>
      <c r="AA19" s="298"/>
      <c r="AB19" s="298"/>
      <c r="AC19" s="298"/>
    </row>
    <row r="20" spans="2:29" ht="12.75">
      <c r="B20" s="358" t="s">
        <v>266</v>
      </c>
      <c r="C20" s="314"/>
      <c r="E20" s="296" t="s">
        <v>360</v>
      </c>
      <c r="F20" s="357" t="s">
        <v>268</v>
      </c>
      <c r="I20" s="298"/>
      <c r="J20" s="298"/>
      <c r="K20" s="298"/>
      <c r="L20" s="298"/>
      <c r="M20" s="298"/>
      <c r="N20" s="298"/>
      <c r="O20" s="298"/>
      <c r="P20" s="298"/>
      <c r="Q20" s="298"/>
      <c r="R20" s="299"/>
      <c r="S20" s="300"/>
      <c r="T20" s="301"/>
      <c r="U20" s="298"/>
      <c r="V20" s="298"/>
      <c r="W20" s="298"/>
      <c r="X20" s="298"/>
      <c r="Y20" s="298"/>
      <c r="Z20" s="298"/>
      <c r="AA20" s="298"/>
      <c r="AB20" s="298"/>
      <c r="AC20" s="298"/>
    </row>
    <row r="21" spans="2:29" ht="12.75">
      <c r="B21" s="378"/>
      <c r="E21" s="296" t="s">
        <v>361</v>
      </c>
      <c r="F21" s="357" t="s">
        <v>267</v>
      </c>
      <c r="I21" s="298"/>
      <c r="J21" s="298"/>
      <c r="K21" s="298"/>
      <c r="L21" s="298"/>
      <c r="M21" s="298"/>
      <c r="N21" s="298"/>
      <c r="O21" s="298"/>
      <c r="P21" s="298"/>
      <c r="Q21" s="298"/>
      <c r="R21" s="299"/>
      <c r="S21" s="300"/>
      <c r="T21" s="301"/>
      <c r="U21" s="298"/>
      <c r="V21" s="384" t="s">
        <v>98</v>
      </c>
      <c r="W21" s="298"/>
      <c r="X21" s="298"/>
      <c r="Y21" s="298"/>
      <c r="Z21" s="298"/>
      <c r="AA21" s="384">
        <v>4</v>
      </c>
      <c r="AB21" s="298"/>
      <c r="AC21" s="298"/>
    </row>
    <row r="22" spans="2:29" ht="12.75">
      <c r="B22" s="380" t="s">
        <v>362</v>
      </c>
      <c r="I22" s="298"/>
      <c r="J22" s="298"/>
      <c r="K22" s="298"/>
      <c r="L22" s="298"/>
      <c r="M22" s="298"/>
      <c r="N22" s="298"/>
      <c r="O22" s="298"/>
      <c r="P22" s="298"/>
      <c r="Q22" s="298"/>
      <c r="R22" s="299"/>
      <c r="S22" s="300"/>
      <c r="T22" s="301"/>
      <c r="U22" s="298"/>
      <c r="V22" s="298"/>
      <c r="W22" s="298"/>
      <c r="X22" s="298"/>
      <c r="Y22" s="298"/>
      <c r="Z22" s="298"/>
      <c r="AA22" s="298"/>
      <c r="AB22" s="298"/>
      <c r="AC22" s="298"/>
    </row>
    <row r="23" spans="2:29" ht="12.75">
      <c r="B23" s="358" t="s">
        <v>269</v>
      </c>
      <c r="C23" s="314"/>
      <c r="E23" s="296" t="s">
        <v>360</v>
      </c>
      <c r="F23" s="357" t="s">
        <v>270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9"/>
      <c r="S23" s="300"/>
      <c r="T23" s="301"/>
      <c r="U23" s="298"/>
      <c r="V23" s="298"/>
      <c r="W23" s="298"/>
      <c r="X23" s="298"/>
      <c r="Y23" s="298"/>
      <c r="Z23" s="298"/>
      <c r="AA23" s="298"/>
      <c r="AB23" s="298"/>
      <c r="AC23" s="298"/>
    </row>
    <row r="24" spans="2:29" ht="12.75">
      <c r="B24" s="378"/>
      <c r="E24" s="296" t="s">
        <v>361</v>
      </c>
      <c r="F24" s="357" t="s">
        <v>271</v>
      </c>
      <c r="I24" s="298"/>
      <c r="J24" s="298"/>
      <c r="K24" s="298"/>
      <c r="L24" s="298"/>
      <c r="M24" s="298"/>
      <c r="N24" s="298"/>
      <c r="O24" s="298"/>
      <c r="P24" s="298"/>
      <c r="Q24" s="298"/>
      <c r="R24" s="299"/>
      <c r="S24" s="300"/>
      <c r="T24" s="301"/>
      <c r="U24" s="298"/>
      <c r="V24" s="298"/>
      <c r="W24" s="298"/>
      <c r="X24" s="298"/>
      <c r="Y24" s="298"/>
      <c r="Z24" s="298"/>
      <c r="AA24" s="298"/>
      <c r="AB24" s="298"/>
      <c r="AC24" s="298"/>
    </row>
    <row r="25" spans="2:29" ht="12.75">
      <c r="B25" s="378"/>
      <c r="I25" s="298"/>
      <c r="J25" s="298"/>
      <c r="K25" s="298"/>
      <c r="L25" s="298"/>
      <c r="M25" s="298"/>
      <c r="N25" s="298"/>
      <c r="O25" s="298"/>
      <c r="P25" s="298"/>
      <c r="Q25" s="298"/>
      <c r="R25" s="299"/>
      <c r="S25" s="300"/>
      <c r="T25" s="301"/>
      <c r="U25" s="298"/>
      <c r="V25" s="298"/>
      <c r="W25" s="298"/>
      <c r="X25" s="298"/>
      <c r="Y25" s="298"/>
      <c r="Z25" s="298"/>
      <c r="AA25" s="298"/>
      <c r="AB25" s="298"/>
      <c r="AC25" s="298"/>
    </row>
    <row r="26" spans="2:29" ht="12.75">
      <c r="B26" s="378"/>
      <c r="I26" s="298"/>
      <c r="J26" s="298"/>
      <c r="K26" s="298"/>
      <c r="L26" s="298"/>
      <c r="M26" s="298"/>
      <c r="N26" s="298"/>
      <c r="O26" s="298"/>
      <c r="P26" s="298"/>
      <c r="Q26" s="298"/>
      <c r="R26" s="299"/>
      <c r="S26" s="300"/>
      <c r="T26" s="301"/>
      <c r="U26" s="298"/>
      <c r="V26" s="298"/>
      <c r="W26" s="298"/>
      <c r="X26" s="298"/>
      <c r="Y26" s="298"/>
      <c r="Z26" s="298"/>
      <c r="AA26" s="298"/>
      <c r="AB26" s="298"/>
      <c r="AC26" s="298"/>
    </row>
    <row r="27" spans="2:30" ht="15.75" customHeight="1" thickBot="1">
      <c r="B27" s="378"/>
      <c r="C27" s="294"/>
      <c r="D27" s="294"/>
      <c r="E27" s="294"/>
      <c r="F27" s="294"/>
      <c r="G27" s="294"/>
      <c r="H27" s="383" t="s">
        <v>98</v>
      </c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315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</row>
    <row r="28" spans="2:30" ht="12.75">
      <c r="B28" s="381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82" t="s">
        <v>357</v>
      </c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21"/>
  <sheetViews>
    <sheetView showGridLines="0" zoomScale="150" zoomScaleNormal="150" workbookViewId="0" topLeftCell="B6">
      <selection activeCell="D12" sqref="D12"/>
    </sheetView>
  </sheetViews>
  <sheetFormatPr defaultColWidth="15.00390625" defaultRowHeight="12.75"/>
  <cols>
    <col min="1" max="1" width="1.12109375" style="399" hidden="1" customWidth="1"/>
    <col min="2" max="2" width="42.875" style="399" customWidth="1"/>
    <col min="3" max="3" width="46.625" style="399" customWidth="1"/>
    <col min="4" max="16384" width="15.00390625" style="399" customWidth="1"/>
  </cols>
  <sheetData>
    <row r="2" spans="2:3" ht="16.5">
      <c r="B2" s="272" t="s">
        <v>363</v>
      </c>
      <c r="C2" s="271"/>
    </row>
    <row r="3" spans="2:3" ht="12.75" thickBot="1">
      <c r="B3" s="271"/>
      <c r="C3" s="271"/>
    </row>
    <row r="4" spans="2:3" ht="12">
      <c r="B4" s="316" t="s">
        <v>364</v>
      </c>
      <c r="C4" s="316" t="s">
        <v>365</v>
      </c>
    </row>
    <row r="5" spans="2:3" ht="39.75" customHeight="1">
      <c r="B5" s="400" t="s">
        <v>207</v>
      </c>
      <c r="C5" s="401" t="s">
        <v>208</v>
      </c>
    </row>
    <row r="6" spans="2:3" ht="39.75" customHeight="1">
      <c r="B6" s="401" t="s">
        <v>209</v>
      </c>
      <c r="C6" s="401" t="s">
        <v>210</v>
      </c>
    </row>
    <row r="7" spans="2:3" ht="39.75" customHeight="1">
      <c r="B7" s="401" t="s">
        <v>211</v>
      </c>
      <c r="C7" s="401" t="s">
        <v>6</v>
      </c>
    </row>
    <row r="8" spans="2:3" ht="39.75" customHeight="1">
      <c r="B8" s="401" t="s">
        <v>517</v>
      </c>
      <c r="C8" s="401" t="s">
        <v>518</v>
      </c>
    </row>
    <row r="9" spans="2:3" ht="39.75" customHeight="1">
      <c r="B9" s="401" t="s">
        <v>385</v>
      </c>
      <c r="C9" s="401" t="s">
        <v>386</v>
      </c>
    </row>
    <row r="10" spans="2:3" ht="39.75" customHeight="1">
      <c r="B10" s="401" t="s">
        <v>387</v>
      </c>
      <c r="C10" s="401" t="s">
        <v>98</v>
      </c>
    </row>
    <row r="11" spans="2:3" ht="39.75" customHeight="1">
      <c r="B11" s="401" t="s">
        <v>388</v>
      </c>
      <c r="C11" s="401"/>
    </row>
    <row r="12" spans="2:3" ht="39.75" customHeight="1" thickBot="1">
      <c r="B12" s="402"/>
      <c r="C12" s="402"/>
    </row>
    <row r="13" spans="2:3" ht="12">
      <c r="B13" s="317" t="s">
        <v>254</v>
      </c>
      <c r="C13" s="317" t="s">
        <v>255</v>
      </c>
    </row>
    <row r="14" spans="2:3" ht="39.75" customHeight="1">
      <c r="B14" s="401" t="s">
        <v>256</v>
      </c>
      <c r="C14" s="401" t="s">
        <v>90</v>
      </c>
    </row>
    <row r="15" spans="2:3" ht="39.75" customHeight="1">
      <c r="B15" s="401" t="s">
        <v>91</v>
      </c>
      <c r="C15" s="401" t="s">
        <v>260</v>
      </c>
    </row>
    <row r="16" spans="2:3" ht="39.75" customHeight="1">
      <c r="B16" s="401" t="s">
        <v>92</v>
      </c>
      <c r="C16" s="401" t="s">
        <v>272</v>
      </c>
    </row>
    <row r="17" spans="2:3" ht="39.75" customHeight="1">
      <c r="B17" s="401" t="s">
        <v>273</v>
      </c>
      <c r="C17" s="401" t="s">
        <v>274</v>
      </c>
    </row>
    <row r="18" spans="2:3" ht="39.75" customHeight="1">
      <c r="B18" s="401" t="s">
        <v>467</v>
      </c>
      <c r="C18" s="401" t="s">
        <v>324</v>
      </c>
    </row>
    <row r="19" spans="2:3" ht="39.75" customHeight="1">
      <c r="B19" s="401" t="s">
        <v>325</v>
      </c>
      <c r="C19" s="401" t="s">
        <v>284</v>
      </c>
    </row>
    <row r="20" spans="2:3" ht="39.75" customHeight="1">
      <c r="B20" s="401" t="s">
        <v>483</v>
      </c>
      <c r="C20" s="401" t="s">
        <v>285</v>
      </c>
    </row>
    <row r="21" spans="2:3" ht="39.75" customHeight="1" thickBot="1">
      <c r="B21" s="402" t="s">
        <v>434</v>
      </c>
      <c r="C21" s="402" t="s">
        <v>366</v>
      </c>
    </row>
  </sheetData>
  <printOptions/>
  <pageMargins left="0.3937007874015748" right="0.3937007874015748" top="0.5905511811023623" bottom="0.5905511811023623" header="0.5118110236220472" footer="0.511811023622047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Z44"/>
  <sheetViews>
    <sheetView showGridLines="0" zoomScale="150" zoomScaleNormal="150" workbookViewId="0" topLeftCell="A1">
      <selection activeCell="W52" sqref="W52"/>
    </sheetView>
  </sheetViews>
  <sheetFormatPr defaultColWidth="28.00390625" defaultRowHeight="12" customHeight="1"/>
  <cols>
    <col min="1" max="1" width="2.00390625" style="277" customWidth="1"/>
    <col min="2" max="2" width="32.875" style="277" customWidth="1"/>
    <col min="3" max="26" width="3.875" style="277" customWidth="1"/>
    <col min="27" max="16384" width="28.00390625" style="277" customWidth="1"/>
  </cols>
  <sheetData>
    <row r="1" ht="6" customHeight="1"/>
    <row r="2" spans="2:26" ht="15" customHeight="1">
      <c r="B2" s="442" t="s">
        <v>367</v>
      </c>
      <c r="C2" s="442"/>
      <c r="D2" s="442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</row>
    <row r="3" spans="2:26" ht="12" customHeight="1" thickBot="1">
      <c r="B3" s="318"/>
      <c r="C3" s="277" t="s">
        <v>368</v>
      </c>
      <c r="G3" s="277" t="s">
        <v>369</v>
      </c>
      <c r="K3" s="277" t="s">
        <v>370</v>
      </c>
      <c r="O3" s="277" t="s">
        <v>371</v>
      </c>
      <c r="S3" s="277" t="s">
        <v>372</v>
      </c>
      <c r="W3" s="277" t="s">
        <v>373</v>
      </c>
      <c r="Z3" s="318"/>
    </row>
    <row r="4" spans="2:26" ht="10.5" customHeight="1">
      <c r="B4" s="319"/>
      <c r="C4" s="403"/>
      <c r="D4" s="404"/>
      <c r="E4" s="404"/>
      <c r="F4" s="405"/>
      <c r="G4" s="406"/>
      <c r="H4" s="404"/>
      <c r="I4" s="404"/>
      <c r="J4" s="405"/>
      <c r="K4" s="320"/>
      <c r="L4" s="406"/>
      <c r="M4" s="404"/>
      <c r="N4" s="411"/>
      <c r="O4" s="403"/>
      <c r="P4" s="404"/>
      <c r="Q4" s="404"/>
      <c r="R4" s="412"/>
      <c r="S4" s="403"/>
      <c r="T4" s="404"/>
      <c r="U4" s="404"/>
      <c r="V4" s="405"/>
      <c r="W4" s="403"/>
      <c r="X4" s="404"/>
      <c r="Y4" s="404"/>
      <c r="Z4" s="405"/>
    </row>
    <row r="5" spans="2:26" ht="10.5" customHeight="1">
      <c r="B5" s="321" t="s">
        <v>374</v>
      </c>
      <c r="C5" s="407"/>
      <c r="D5" s="408"/>
      <c r="E5" s="408"/>
      <c r="F5" s="409"/>
      <c r="G5" s="410"/>
      <c r="H5" s="408"/>
      <c r="I5" s="408"/>
      <c r="J5" s="409"/>
      <c r="K5" s="322"/>
      <c r="L5" s="410"/>
      <c r="M5" s="408"/>
      <c r="N5" s="413"/>
      <c r="O5" s="407"/>
      <c r="P5" s="408"/>
      <c r="Q5" s="408"/>
      <c r="R5" s="413"/>
      <c r="S5" s="407"/>
      <c r="T5" s="408"/>
      <c r="U5" s="408"/>
      <c r="V5" s="409"/>
      <c r="W5" s="407"/>
      <c r="X5" s="408"/>
      <c r="Y5" s="408"/>
      <c r="Z5" s="409"/>
    </row>
    <row r="6" spans="2:26" ht="10.5" customHeight="1">
      <c r="B6" s="323" t="s">
        <v>513</v>
      </c>
      <c r="C6" s="324"/>
      <c r="D6" s="325"/>
      <c r="E6" s="325"/>
      <c r="F6" s="326"/>
      <c r="G6" s="327"/>
      <c r="H6" s="408"/>
      <c r="I6" s="408"/>
      <c r="J6" s="409"/>
      <c r="K6" s="322"/>
      <c r="L6" s="410"/>
      <c r="M6" s="408"/>
      <c r="N6" s="413"/>
      <c r="O6" s="407"/>
      <c r="P6" s="408"/>
      <c r="Q6" s="408"/>
      <c r="R6" s="413"/>
      <c r="S6" s="407"/>
      <c r="T6" s="408"/>
      <c r="U6" s="408"/>
      <c r="V6" s="409"/>
      <c r="W6" s="407"/>
      <c r="X6" s="408"/>
      <c r="Y6" s="408"/>
      <c r="Z6" s="409"/>
    </row>
    <row r="7" spans="2:26" ht="10.5" customHeight="1">
      <c r="B7" s="323" t="s">
        <v>514</v>
      </c>
      <c r="C7" s="407"/>
      <c r="D7" s="408"/>
      <c r="E7" s="325"/>
      <c r="F7" s="326"/>
      <c r="G7" s="327"/>
      <c r="H7" s="325"/>
      <c r="I7" s="408"/>
      <c r="J7" s="409"/>
      <c r="K7" s="322"/>
      <c r="L7" s="408"/>
      <c r="M7" s="408"/>
      <c r="N7" s="413"/>
      <c r="O7" s="407"/>
      <c r="P7" s="408"/>
      <c r="Q7" s="408"/>
      <c r="R7" s="413"/>
      <c r="S7" s="407"/>
      <c r="T7" s="408"/>
      <c r="U7" s="408"/>
      <c r="V7" s="409"/>
      <c r="W7" s="407"/>
      <c r="X7" s="408"/>
      <c r="Y7" s="408"/>
      <c r="Z7" s="409"/>
    </row>
    <row r="8" spans="2:26" ht="10.5" customHeight="1">
      <c r="B8" s="323" t="s">
        <v>515</v>
      </c>
      <c r="C8" s="407"/>
      <c r="D8" s="408"/>
      <c r="E8" s="408"/>
      <c r="F8" s="328"/>
      <c r="G8" s="327"/>
      <c r="H8" s="327"/>
      <c r="I8" s="408"/>
      <c r="J8" s="409"/>
      <c r="K8" s="322"/>
      <c r="L8" s="410"/>
      <c r="M8" s="408"/>
      <c r="N8" s="413"/>
      <c r="O8" s="407"/>
      <c r="P8" s="408"/>
      <c r="Q8" s="408"/>
      <c r="R8" s="413"/>
      <c r="S8" s="407"/>
      <c r="T8" s="408"/>
      <c r="U8" s="408"/>
      <c r="V8" s="409"/>
      <c r="W8" s="407"/>
      <c r="X8" s="408"/>
      <c r="Y8" s="408"/>
      <c r="Z8" s="409"/>
    </row>
    <row r="9" spans="2:26" ht="10.5" customHeight="1">
      <c r="B9" s="323" t="s">
        <v>448</v>
      </c>
      <c r="C9" s="407"/>
      <c r="D9" s="408"/>
      <c r="E9" s="325"/>
      <c r="F9" s="326"/>
      <c r="G9" s="327"/>
      <c r="H9" s="325"/>
      <c r="I9" s="325"/>
      <c r="J9" s="326"/>
      <c r="K9" s="329"/>
      <c r="L9" s="410"/>
      <c r="M9" s="408"/>
      <c r="N9" s="413"/>
      <c r="O9" s="407"/>
      <c r="P9" s="408"/>
      <c r="Q9" s="408"/>
      <c r="R9" s="413"/>
      <c r="S9" s="407"/>
      <c r="T9" s="408"/>
      <c r="U9" s="408"/>
      <c r="V9" s="409"/>
      <c r="W9" s="407"/>
      <c r="X9" s="408"/>
      <c r="Y9" s="408"/>
      <c r="Z9" s="409"/>
    </row>
    <row r="10" spans="2:26" ht="10.5" customHeight="1">
      <c r="B10" s="323" t="s">
        <v>449</v>
      </c>
      <c r="C10" s="407"/>
      <c r="D10" s="408"/>
      <c r="E10" s="325"/>
      <c r="F10" s="326"/>
      <c r="G10" s="410"/>
      <c r="H10" s="408"/>
      <c r="I10" s="408"/>
      <c r="J10" s="409"/>
      <c r="K10" s="322"/>
      <c r="L10" s="408"/>
      <c r="M10" s="408"/>
      <c r="N10" s="413"/>
      <c r="O10" s="407"/>
      <c r="P10" s="408"/>
      <c r="Q10" s="408"/>
      <c r="R10" s="413"/>
      <c r="S10" s="407"/>
      <c r="T10" s="408"/>
      <c r="U10" s="408"/>
      <c r="V10" s="409"/>
      <c r="W10" s="407"/>
      <c r="X10" s="408"/>
      <c r="Y10" s="408"/>
      <c r="Z10" s="409"/>
    </row>
    <row r="11" spans="2:26" ht="10.5" customHeight="1" thickBot="1">
      <c r="B11" s="323" t="s">
        <v>450</v>
      </c>
      <c r="C11" s="417"/>
      <c r="D11" s="415"/>
      <c r="E11" s="415"/>
      <c r="F11" s="330"/>
      <c r="G11" s="331"/>
      <c r="H11" s="415"/>
      <c r="I11" s="415"/>
      <c r="J11" s="418"/>
      <c r="K11" s="332"/>
      <c r="L11" s="414"/>
      <c r="M11" s="415"/>
      <c r="N11" s="416"/>
      <c r="O11" s="417"/>
      <c r="P11" s="415"/>
      <c r="Q11" s="415"/>
      <c r="R11" s="416"/>
      <c r="S11" s="417"/>
      <c r="T11" s="415"/>
      <c r="U11" s="415"/>
      <c r="V11" s="418"/>
      <c r="W11" s="417"/>
      <c r="X11" s="415"/>
      <c r="Y11" s="415"/>
      <c r="Z11" s="418"/>
    </row>
    <row r="12" spans="2:26" ht="10.5" customHeight="1" thickTop="1">
      <c r="B12" s="323"/>
      <c r="C12" s="422"/>
      <c r="D12" s="420"/>
      <c r="E12" s="420"/>
      <c r="F12" s="423"/>
      <c r="G12" s="419"/>
      <c r="H12" s="420"/>
      <c r="I12" s="420"/>
      <c r="J12" s="423"/>
      <c r="K12" s="333"/>
      <c r="L12" s="419"/>
      <c r="M12" s="420"/>
      <c r="N12" s="421"/>
      <c r="O12" s="422"/>
      <c r="P12" s="420"/>
      <c r="Q12" s="420"/>
      <c r="R12" s="421"/>
      <c r="S12" s="422"/>
      <c r="T12" s="420"/>
      <c r="U12" s="420"/>
      <c r="V12" s="423"/>
      <c r="W12" s="422"/>
      <c r="X12" s="420"/>
      <c r="Y12" s="420"/>
      <c r="Z12" s="423"/>
    </row>
    <row r="13" spans="2:26" ht="10.5" customHeight="1">
      <c r="B13" s="321" t="s">
        <v>451</v>
      </c>
      <c r="C13" s="407"/>
      <c r="D13" s="408"/>
      <c r="E13" s="408"/>
      <c r="F13" s="409"/>
      <c r="G13" s="410"/>
      <c r="H13" s="408"/>
      <c r="I13" s="408"/>
      <c r="J13" s="409"/>
      <c r="K13" s="322"/>
      <c r="L13" s="410"/>
      <c r="M13" s="408"/>
      <c r="N13" s="413"/>
      <c r="O13" s="407"/>
      <c r="P13" s="408"/>
      <c r="Q13" s="408"/>
      <c r="R13" s="413"/>
      <c r="S13" s="407"/>
      <c r="T13" s="408"/>
      <c r="U13" s="408"/>
      <c r="V13" s="409"/>
      <c r="W13" s="407"/>
      <c r="X13" s="408"/>
      <c r="Y13" s="408"/>
      <c r="Z13" s="409"/>
    </row>
    <row r="14" spans="2:26" ht="10.5" customHeight="1">
      <c r="B14" s="323" t="s">
        <v>452</v>
      </c>
      <c r="C14" s="407"/>
      <c r="D14" s="408"/>
      <c r="E14" s="408"/>
      <c r="F14" s="409"/>
      <c r="G14" s="410"/>
      <c r="H14" s="408"/>
      <c r="I14" s="408"/>
      <c r="J14" s="326"/>
      <c r="K14" s="329"/>
      <c r="L14" s="327"/>
      <c r="M14" s="408"/>
      <c r="N14" s="413"/>
      <c r="O14" s="407"/>
      <c r="P14" s="408"/>
      <c r="Q14" s="408"/>
      <c r="R14" s="413"/>
      <c r="S14" s="407"/>
      <c r="T14" s="408"/>
      <c r="U14" s="408"/>
      <c r="V14" s="409"/>
      <c r="W14" s="407"/>
      <c r="X14" s="408"/>
      <c r="Y14" s="408"/>
      <c r="Z14" s="409"/>
    </row>
    <row r="15" spans="2:26" ht="10.5" customHeight="1">
      <c r="B15" s="323" t="s">
        <v>453</v>
      </c>
      <c r="C15" s="407"/>
      <c r="D15" s="408"/>
      <c r="E15" s="408"/>
      <c r="F15" s="409"/>
      <c r="G15" s="410"/>
      <c r="H15" s="408"/>
      <c r="I15" s="408"/>
      <c r="J15" s="326"/>
      <c r="K15" s="329"/>
      <c r="L15" s="327"/>
      <c r="M15" s="325"/>
      <c r="N15" s="413"/>
      <c r="O15" s="407"/>
      <c r="P15" s="408"/>
      <c r="Q15" s="408"/>
      <c r="R15" s="413"/>
      <c r="S15" s="407"/>
      <c r="T15" s="408"/>
      <c r="U15" s="408"/>
      <c r="V15" s="409"/>
      <c r="W15" s="407"/>
      <c r="X15" s="408"/>
      <c r="Y15" s="408"/>
      <c r="Z15" s="409"/>
    </row>
    <row r="16" spans="2:26" ht="10.5" customHeight="1">
      <c r="B16" s="323" t="s">
        <v>454</v>
      </c>
      <c r="C16" s="407"/>
      <c r="D16" s="408"/>
      <c r="E16" s="408"/>
      <c r="F16" s="409"/>
      <c r="G16" s="410"/>
      <c r="H16" s="408"/>
      <c r="I16" s="408"/>
      <c r="J16" s="409"/>
      <c r="K16" s="322"/>
      <c r="L16" s="410"/>
      <c r="M16" s="325"/>
      <c r="N16" s="334"/>
      <c r="O16" s="324"/>
      <c r="P16" s="325"/>
      <c r="Q16" s="325"/>
      <c r="R16" s="334"/>
      <c r="S16" s="324"/>
      <c r="T16" s="325"/>
      <c r="U16" s="325"/>
      <c r="V16" s="326"/>
      <c r="W16" s="324"/>
      <c r="X16" s="408"/>
      <c r="Y16" s="408"/>
      <c r="Z16" s="409"/>
    </row>
    <row r="17" spans="2:26" ht="10.5" customHeight="1">
      <c r="B17" s="323" t="s">
        <v>455</v>
      </c>
      <c r="C17" s="407"/>
      <c r="D17" s="408"/>
      <c r="E17" s="408"/>
      <c r="F17" s="409"/>
      <c r="G17" s="410"/>
      <c r="H17" s="408"/>
      <c r="I17" s="408"/>
      <c r="J17" s="409"/>
      <c r="K17" s="322"/>
      <c r="L17" s="410"/>
      <c r="M17" s="408"/>
      <c r="N17" s="413"/>
      <c r="O17" s="324"/>
      <c r="P17" s="325"/>
      <c r="Q17" s="408"/>
      <c r="R17" s="413"/>
      <c r="S17" s="407"/>
      <c r="T17" s="408"/>
      <c r="U17" s="408"/>
      <c r="V17" s="409"/>
      <c r="W17" s="407"/>
      <c r="X17" s="408"/>
      <c r="Y17" s="408"/>
      <c r="Z17" s="409"/>
    </row>
    <row r="18" spans="2:26" ht="10.5" customHeight="1">
      <c r="B18" s="323" t="s">
        <v>456</v>
      </c>
      <c r="C18" s="407"/>
      <c r="D18" s="408"/>
      <c r="E18" s="408"/>
      <c r="F18" s="409"/>
      <c r="G18" s="410"/>
      <c r="H18" s="408"/>
      <c r="I18" s="408"/>
      <c r="J18" s="409"/>
      <c r="K18" s="322"/>
      <c r="L18" s="410"/>
      <c r="M18" s="325"/>
      <c r="N18" s="334"/>
      <c r="O18" s="407"/>
      <c r="P18" s="408"/>
      <c r="Q18" s="408"/>
      <c r="R18" s="413"/>
      <c r="S18" s="407"/>
      <c r="T18" s="408"/>
      <c r="U18" s="408"/>
      <c r="V18" s="409"/>
      <c r="W18" s="407"/>
      <c r="X18" s="408"/>
      <c r="Y18" s="408"/>
      <c r="Z18" s="409"/>
    </row>
    <row r="19" spans="2:26" ht="10.5" customHeight="1">
      <c r="B19" s="323" t="s">
        <v>457</v>
      </c>
      <c r="C19" s="407"/>
      <c r="D19" s="408"/>
      <c r="E19" s="408"/>
      <c r="F19" s="409"/>
      <c r="G19" s="410"/>
      <c r="H19" s="408"/>
      <c r="I19" s="408"/>
      <c r="J19" s="409"/>
      <c r="K19" s="322"/>
      <c r="L19" s="410"/>
      <c r="M19" s="325"/>
      <c r="N19" s="334"/>
      <c r="O19" s="407"/>
      <c r="P19" s="408"/>
      <c r="Q19" s="408"/>
      <c r="R19" s="413"/>
      <c r="S19" s="407"/>
      <c r="T19" s="408"/>
      <c r="U19" s="408"/>
      <c r="V19" s="409"/>
      <c r="W19" s="407"/>
      <c r="X19" s="408"/>
      <c r="Y19" s="408"/>
      <c r="Z19" s="409"/>
    </row>
    <row r="20" spans="2:26" ht="10.5" customHeight="1">
      <c r="B20" s="323" t="s">
        <v>458</v>
      </c>
      <c r="C20" s="407"/>
      <c r="D20" s="408"/>
      <c r="E20" s="408"/>
      <c r="F20" s="409"/>
      <c r="G20" s="410"/>
      <c r="H20" s="408"/>
      <c r="I20" s="408"/>
      <c r="J20" s="409"/>
      <c r="K20" s="322"/>
      <c r="L20" s="410"/>
      <c r="M20" s="408"/>
      <c r="N20" s="413"/>
      <c r="O20" s="407"/>
      <c r="P20" s="408"/>
      <c r="Q20" s="408"/>
      <c r="R20" s="413"/>
      <c r="S20" s="407"/>
      <c r="T20" s="325"/>
      <c r="U20" s="325"/>
      <c r="V20" s="326"/>
      <c r="W20" s="407"/>
      <c r="X20" s="408"/>
      <c r="Y20" s="408"/>
      <c r="Z20" s="409"/>
    </row>
    <row r="21" spans="2:26" ht="10.5" customHeight="1" thickBot="1">
      <c r="B21" s="323" t="s">
        <v>459</v>
      </c>
      <c r="C21" s="417"/>
      <c r="D21" s="415"/>
      <c r="E21" s="415"/>
      <c r="F21" s="418"/>
      <c r="G21" s="414"/>
      <c r="H21" s="415"/>
      <c r="I21" s="415"/>
      <c r="J21" s="418"/>
      <c r="K21" s="332"/>
      <c r="L21" s="414"/>
      <c r="M21" s="415"/>
      <c r="N21" s="416"/>
      <c r="O21" s="417"/>
      <c r="P21" s="415"/>
      <c r="Q21" s="415"/>
      <c r="R21" s="416"/>
      <c r="S21" s="417"/>
      <c r="T21" s="415"/>
      <c r="U21" s="335"/>
      <c r="V21" s="330"/>
      <c r="W21" s="417"/>
      <c r="X21" s="415"/>
      <c r="Y21" s="415"/>
      <c r="Z21" s="418"/>
    </row>
    <row r="22" spans="2:26" ht="10.5" customHeight="1" thickTop="1">
      <c r="B22" s="323"/>
      <c r="C22" s="422"/>
      <c r="D22" s="420"/>
      <c r="E22" s="420"/>
      <c r="F22" s="423"/>
      <c r="G22" s="419"/>
      <c r="H22" s="420"/>
      <c r="I22" s="420"/>
      <c r="J22" s="423"/>
      <c r="K22" s="333"/>
      <c r="L22" s="419"/>
      <c r="M22" s="420"/>
      <c r="N22" s="421"/>
      <c r="O22" s="422"/>
      <c r="P22" s="420"/>
      <c r="Q22" s="420"/>
      <c r="R22" s="421"/>
      <c r="S22" s="422"/>
      <c r="T22" s="420"/>
      <c r="U22" s="420"/>
      <c r="V22" s="423"/>
      <c r="W22" s="422"/>
      <c r="X22" s="420"/>
      <c r="Y22" s="420"/>
      <c r="Z22" s="423"/>
    </row>
    <row r="23" spans="2:26" ht="10.5" customHeight="1">
      <c r="B23" s="321" t="s">
        <v>316</v>
      </c>
      <c r="C23" s="407"/>
      <c r="D23" s="408"/>
      <c r="E23" s="408"/>
      <c r="F23" s="409"/>
      <c r="G23" s="410"/>
      <c r="H23" s="408"/>
      <c r="I23" s="408"/>
      <c r="J23" s="409"/>
      <c r="K23" s="322"/>
      <c r="L23" s="410"/>
      <c r="M23" s="408"/>
      <c r="N23" s="413"/>
      <c r="O23" s="407"/>
      <c r="P23" s="408"/>
      <c r="Q23" s="408"/>
      <c r="R23" s="413"/>
      <c r="S23" s="407"/>
      <c r="T23" s="408"/>
      <c r="U23" s="408"/>
      <c r="V23" s="409"/>
      <c r="W23" s="407"/>
      <c r="X23" s="408"/>
      <c r="Y23" s="408"/>
      <c r="Z23" s="409"/>
    </row>
    <row r="24" spans="2:26" ht="10.5" customHeight="1">
      <c r="B24" s="323" t="s">
        <v>460</v>
      </c>
      <c r="C24" s="407"/>
      <c r="D24" s="408"/>
      <c r="E24" s="408"/>
      <c r="F24" s="409"/>
      <c r="G24" s="410"/>
      <c r="H24" s="408"/>
      <c r="I24" s="408"/>
      <c r="J24" s="409"/>
      <c r="K24" s="322"/>
      <c r="L24" s="410"/>
      <c r="M24" s="408"/>
      <c r="N24" s="413"/>
      <c r="O24" s="407"/>
      <c r="P24" s="408"/>
      <c r="Q24" s="408"/>
      <c r="R24" s="413"/>
      <c r="S24" s="407"/>
      <c r="T24" s="408"/>
      <c r="U24" s="408"/>
      <c r="V24" s="326"/>
      <c r="W24" s="324"/>
      <c r="X24" s="325"/>
      <c r="Y24" s="325"/>
      <c r="Z24" s="326"/>
    </row>
    <row r="25" spans="2:26" ht="10.5" customHeight="1">
      <c r="B25" s="323" t="s">
        <v>461</v>
      </c>
      <c r="C25" s="407"/>
      <c r="D25" s="408"/>
      <c r="E25" s="408"/>
      <c r="F25" s="409"/>
      <c r="G25" s="410"/>
      <c r="H25" s="408"/>
      <c r="I25" s="408"/>
      <c r="J25" s="409"/>
      <c r="K25" s="322"/>
      <c r="L25" s="410"/>
      <c r="M25" s="408"/>
      <c r="N25" s="413"/>
      <c r="O25" s="407"/>
      <c r="P25" s="408"/>
      <c r="Q25" s="325"/>
      <c r="R25" s="334"/>
      <c r="S25" s="324"/>
      <c r="T25" s="408"/>
      <c r="U25" s="408"/>
      <c r="V25" s="409"/>
      <c r="W25" s="407"/>
      <c r="X25" s="408"/>
      <c r="Y25" s="408"/>
      <c r="Z25" s="409"/>
    </row>
    <row r="26" spans="2:26" ht="10.5" customHeight="1">
      <c r="B26" s="323" t="s">
        <v>462</v>
      </c>
      <c r="C26" s="407"/>
      <c r="D26" s="408"/>
      <c r="E26" s="408"/>
      <c r="F26" s="409"/>
      <c r="G26" s="410"/>
      <c r="H26" s="408"/>
      <c r="I26" s="408"/>
      <c r="J26" s="409"/>
      <c r="K26" s="322"/>
      <c r="L26" s="410"/>
      <c r="M26" s="408"/>
      <c r="N26" s="413"/>
      <c r="O26" s="407"/>
      <c r="P26" s="408"/>
      <c r="Q26" s="408"/>
      <c r="R26" s="413"/>
      <c r="S26" s="407"/>
      <c r="T26" s="408"/>
      <c r="U26" s="408"/>
      <c r="V26" s="326"/>
      <c r="W26" s="324"/>
      <c r="X26" s="325"/>
      <c r="Y26" s="408"/>
      <c r="Z26" s="409"/>
    </row>
    <row r="27" spans="2:26" ht="10.5" customHeight="1">
      <c r="B27" s="323" t="s">
        <v>463</v>
      </c>
      <c r="C27" s="407"/>
      <c r="D27" s="408"/>
      <c r="E27" s="408"/>
      <c r="F27" s="409"/>
      <c r="G27" s="410"/>
      <c r="H27" s="408"/>
      <c r="I27" s="408"/>
      <c r="J27" s="409"/>
      <c r="K27" s="322"/>
      <c r="L27" s="410"/>
      <c r="M27" s="408"/>
      <c r="N27" s="413"/>
      <c r="O27" s="407"/>
      <c r="P27" s="408"/>
      <c r="Q27" s="408"/>
      <c r="R27" s="413"/>
      <c r="S27" s="407"/>
      <c r="T27" s="408"/>
      <c r="U27" s="408"/>
      <c r="V27" s="326"/>
      <c r="W27" s="324"/>
      <c r="X27" s="408"/>
      <c r="Y27" s="408"/>
      <c r="Z27" s="409"/>
    </row>
    <row r="28" spans="2:26" ht="10.5" customHeight="1">
      <c r="B28" s="323" t="s">
        <v>464</v>
      </c>
      <c r="C28" s="407"/>
      <c r="D28" s="408"/>
      <c r="E28" s="408"/>
      <c r="F28" s="409"/>
      <c r="G28" s="410"/>
      <c r="H28" s="408"/>
      <c r="I28" s="408"/>
      <c r="J28" s="409"/>
      <c r="K28" s="322"/>
      <c r="L28" s="410"/>
      <c r="M28" s="408"/>
      <c r="N28" s="413"/>
      <c r="O28" s="407"/>
      <c r="P28" s="408"/>
      <c r="Q28" s="408"/>
      <c r="R28" s="413"/>
      <c r="S28" s="407"/>
      <c r="T28" s="408"/>
      <c r="U28" s="408"/>
      <c r="V28" s="409"/>
      <c r="W28" s="324" t="s">
        <v>465</v>
      </c>
      <c r="X28" s="408"/>
      <c r="Y28" s="408"/>
      <c r="Z28" s="409"/>
    </row>
    <row r="29" spans="2:26" ht="10.5" customHeight="1" thickBot="1">
      <c r="B29" s="323" t="s">
        <v>164</v>
      </c>
      <c r="C29" s="417"/>
      <c r="D29" s="415"/>
      <c r="E29" s="415"/>
      <c r="F29" s="418"/>
      <c r="G29" s="414"/>
      <c r="H29" s="415"/>
      <c r="I29" s="415"/>
      <c r="J29" s="418"/>
      <c r="K29" s="332"/>
      <c r="L29" s="414"/>
      <c r="M29" s="415"/>
      <c r="N29" s="416"/>
      <c r="O29" s="417"/>
      <c r="P29" s="415"/>
      <c r="Q29" s="415"/>
      <c r="R29" s="416"/>
      <c r="S29" s="417"/>
      <c r="T29" s="415"/>
      <c r="U29" s="415"/>
      <c r="V29" s="418"/>
      <c r="W29" s="417"/>
      <c r="X29" s="335" t="s">
        <v>165</v>
      </c>
      <c r="Y29" s="415"/>
      <c r="Z29" s="418"/>
    </row>
    <row r="30" spans="2:26" ht="10.5" customHeight="1" thickTop="1">
      <c r="B30" s="323"/>
      <c r="C30" s="422"/>
      <c r="D30" s="420"/>
      <c r="E30" s="420"/>
      <c r="F30" s="423"/>
      <c r="G30" s="419"/>
      <c r="H30" s="420"/>
      <c r="I30" s="420"/>
      <c r="J30" s="423"/>
      <c r="K30" s="333"/>
      <c r="L30" s="419"/>
      <c r="M30" s="420"/>
      <c r="N30" s="421"/>
      <c r="O30" s="422"/>
      <c r="P30" s="420"/>
      <c r="Q30" s="420"/>
      <c r="R30" s="421"/>
      <c r="S30" s="422"/>
      <c r="T30" s="420"/>
      <c r="U30" s="420"/>
      <c r="V30" s="423"/>
      <c r="W30" s="422"/>
      <c r="X30" s="420"/>
      <c r="Y30" s="420"/>
      <c r="Z30" s="423"/>
    </row>
    <row r="31" spans="2:26" ht="10.5" customHeight="1">
      <c r="B31" s="321" t="s">
        <v>166</v>
      </c>
      <c r="C31" s="407"/>
      <c r="D31" s="408"/>
      <c r="E31" s="408"/>
      <c r="F31" s="409"/>
      <c r="G31" s="410"/>
      <c r="H31" s="408"/>
      <c r="I31" s="408"/>
      <c r="J31" s="409"/>
      <c r="K31" s="322"/>
      <c r="L31" s="410"/>
      <c r="M31" s="408"/>
      <c r="N31" s="413"/>
      <c r="O31" s="407"/>
      <c r="P31" s="408"/>
      <c r="Q31" s="408"/>
      <c r="R31" s="413"/>
      <c r="S31" s="407"/>
      <c r="T31" s="408"/>
      <c r="U31" s="408"/>
      <c r="V31" s="409"/>
      <c r="W31" s="407"/>
      <c r="X31" s="408"/>
      <c r="Y31" s="408"/>
      <c r="Z31" s="409"/>
    </row>
    <row r="32" spans="2:26" ht="10.5" customHeight="1">
      <c r="B32" s="323" t="s">
        <v>167</v>
      </c>
      <c r="C32" s="407"/>
      <c r="D32" s="408"/>
      <c r="E32" s="408"/>
      <c r="F32" s="409"/>
      <c r="G32" s="410"/>
      <c r="H32" s="408"/>
      <c r="I32" s="325"/>
      <c r="J32" s="326" t="s">
        <v>465</v>
      </c>
      <c r="K32" s="329"/>
      <c r="L32" s="410"/>
      <c r="M32" s="408"/>
      <c r="N32" s="413"/>
      <c r="O32" s="407"/>
      <c r="P32" s="408"/>
      <c r="Q32" s="408"/>
      <c r="R32" s="413"/>
      <c r="S32" s="407"/>
      <c r="T32" s="408"/>
      <c r="U32" s="408"/>
      <c r="V32" s="409"/>
      <c r="W32" s="407"/>
      <c r="X32" s="408"/>
      <c r="Y32" s="408"/>
      <c r="Z32" s="409"/>
    </row>
    <row r="33" spans="2:26" ht="10.5" customHeight="1">
      <c r="B33" s="323" t="s">
        <v>168</v>
      </c>
      <c r="C33" s="407"/>
      <c r="D33" s="408"/>
      <c r="E33" s="408"/>
      <c r="F33" s="409"/>
      <c r="G33" s="410"/>
      <c r="H33" s="408"/>
      <c r="I33" s="408"/>
      <c r="J33" s="409"/>
      <c r="K33" s="329" t="s">
        <v>169</v>
      </c>
      <c r="L33" s="410"/>
      <c r="M33" s="408"/>
      <c r="N33" s="413"/>
      <c r="O33" s="407"/>
      <c r="P33" s="408"/>
      <c r="Q33" s="408"/>
      <c r="R33" s="413"/>
      <c r="S33" s="407"/>
      <c r="T33" s="408"/>
      <c r="U33" s="408"/>
      <c r="V33" s="409"/>
      <c r="W33" s="407"/>
      <c r="X33" s="408"/>
      <c r="Y33" s="408"/>
      <c r="Z33" s="409"/>
    </row>
    <row r="34" spans="2:26" ht="10.5" customHeight="1">
      <c r="B34" s="323" t="s">
        <v>170</v>
      </c>
      <c r="C34" s="407"/>
      <c r="D34" s="408"/>
      <c r="E34" s="408"/>
      <c r="F34" s="409"/>
      <c r="G34" s="410"/>
      <c r="H34" s="408"/>
      <c r="I34" s="408"/>
      <c r="J34" s="409"/>
      <c r="K34" s="322"/>
      <c r="L34" s="327"/>
      <c r="M34" s="325"/>
      <c r="N34" s="413"/>
      <c r="O34" s="407"/>
      <c r="P34" s="408"/>
      <c r="Q34" s="408"/>
      <c r="R34" s="413"/>
      <c r="S34" s="407"/>
      <c r="T34" s="408"/>
      <c r="U34" s="408"/>
      <c r="V34" s="409"/>
      <c r="W34" s="407"/>
      <c r="X34" s="408"/>
      <c r="Y34" s="408"/>
      <c r="Z34" s="409"/>
    </row>
    <row r="35" spans="2:26" ht="10.5" customHeight="1">
      <c r="B35" s="323" t="s">
        <v>171</v>
      </c>
      <c r="C35" s="407"/>
      <c r="D35" s="408"/>
      <c r="E35" s="408"/>
      <c r="F35" s="409"/>
      <c r="G35" s="410"/>
      <c r="H35" s="408"/>
      <c r="I35" s="408"/>
      <c r="J35" s="409"/>
      <c r="K35" s="322"/>
      <c r="L35" s="410"/>
      <c r="M35" s="325"/>
      <c r="N35" s="334"/>
      <c r="O35" s="324"/>
      <c r="P35" s="408"/>
      <c r="Q35" s="408"/>
      <c r="R35" s="413"/>
      <c r="S35" s="407"/>
      <c r="T35" s="408"/>
      <c r="U35" s="408"/>
      <c r="V35" s="409"/>
      <c r="W35" s="407"/>
      <c r="X35" s="408"/>
      <c r="Y35" s="408"/>
      <c r="Z35" s="409"/>
    </row>
    <row r="36" spans="2:26" ht="10.5" customHeight="1">
      <c r="B36" s="323" t="s">
        <v>175</v>
      </c>
      <c r="C36" s="407"/>
      <c r="D36" s="408"/>
      <c r="E36" s="408"/>
      <c r="F36" s="409"/>
      <c r="G36" s="410"/>
      <c r="H36" s="408"/>
      <c r="I36" s="408"/>
      <c r="J36" s="409"/>
      <c r="K36" s="322"/>
      <c r="L36" s="410"/>
      <c r="M36" s="408"/>
      <c r="N36" s="334"/>
      <c r="O36" s="324"/>
      <c r="P36" s="408"/>
      <c r="Q36" s="408"/>
      <c r="R36" s="413"/>
      <c r="S36" s="407"/>
      <c r="T36" s="408"/>
      <c r="U36" s="408"/>
      <c r="V36" s="409"/>
      <c r="W36" s="407"/>
      <c r="X36" s="408"/>
      <c r="Y36" s="408"/>
      <c r="Z36" s="409"/>
    </row>
    <row r="37" spans="2:26" ht="10.5" customHeight="1">
      <c r="B37" s="323" t="s">
        <v>176</v>
      </c>
      <c r="C37" s="407"/>
      <c r="D37" s="408"/>
      <c r="E37" s="408"/>
      <c r="F37" s="409"/>
      <c r="G37" s="410"/>
      <c r="H37" s="408"/>
      <c r="I37" s="408"/>
      <c r="J37" s="409"/>
      <c r="K37" s="322"/>
      <c r="L37" s="410"/>
      <c r="M37" s="408"/>
      <c r="N37" s="413"/>
      <c r="O37" s="407"/>
      <c r="P37" s="325" t="s">
        <v>177</v>
      </c>
      <c r="Q37" s="325"/>
      <c r="R37" s="413"/>
      <c r="S37" s="407"/>
      <c r="T37" s="325" t="s">
        <v>178</v>
      </c>
      <c r="U37" s="325"/>
      <c r="V37" s="409"/>
      <c r="W37" s="407"/>
      <c r="X37" s="408"/>
      <c r="Y37" s="408"/>
      <c r="Z37" s="409"/>
    </row>
    <row r="38" spans="2:26" ht="10.5" customHeight="1">
      <c r="B38" s="323" t="s">
        <v>179</v>
      </c>
      <c r="C38" s="407"/>
      <c r="D38" s="408"/>
      <c r="E38" s="408"/>
      <c r="F38" s="409"/>
      <c r="G38" s="410"/>
      <c r="H38" s="408"/>
      <c r="I38" s="408"/>
      <c r="J38" s="409"/>
      <c r="K38" s="322"/>
      <c r="L38" s="410"/>
      <c r="M38" s="408"/>
      <c r="N38" s="413"/>
      <c r="O38" s="407"/>
      <c r="P38" s="408"/>
      <c r="Q38" s="408"/>
      <c r="R38" s="413"/>
      <c r="S38" s="407"/>
      <c r="T38" s="408"/>
      <c r="U38" s="408"/>
      <c r="V38" s="326"/>
      <c r="W38" s="324"/>
      <c r="X38" s="408"/>
      <c r="Y38" s="408"/>
      <c r="Z38" s="409"/>
    </row>
    <row r="39" spans="2:26" ht="10.5" customHeight="1" thickBot="1">
      <c r="B39" s="323" t="s">
        <v>180</v>
      </c>
      <c r="C39" s="417"/>
      <c r="D39" s="415"/>
      <c r="E39" s="415"/>
      <c r="F39" s="418"/>
      <c r="G39" s="414"/>
      <c r="H39" s="415"/>
      <c r="I39" s="415"/>
      <c r="J39" s="418"/>
      <c r="K39" s="332"/>
      <c r="L39" s="414"/>
      <c r="M39" s="415"/>
      <c r="N39" s="416"/>
      <c r="O39" s="417"/>
      <c r="P39" s="335"/>
      <c r="Q39" s="335"/>
      <c r="R39" s="336"/>
      <c r="S39" s="337"/>
      <c r="T39" s="335"/>
      <c r="U39" s="335"/>
      <c r="V39" s="418"/>
      <c r="W39" s="417"/>
      <c r="X39" s="415"/>
      <c r="Y39" s="415"/>
      <c r="Z39" s="418"/>
    </row>
    <row r="40" spans="2:26" ht="10.5" customHeight="1" thickTop="1">
      <c r="B40" s="323"/>
      <c r="C40" s="422"/>
      <c r="D40" s="420"/>
      <c r="E40" s="420"/>
      <c r="F40" s="423"/>
      <c r="G40" s="419"/>
      <c r="H40" s="420"/>
      <c r="I40" s="420"/>
      <c r="J40" s="423"/>
      <c r="K40" s="333"/>
      <c r="L40" s="419"/>
      <c r="M40" s="420"/>
      <c r="N40" s="421"/>
      <c r="O40" s="422"/>
      <c r="P40" s="420"/>
      <c r="Q40" s="420"/>
      <c r="R40" s="421"/>
      <c r="S40" s="422"/>
      <c r="T40" s="420"/>
      <c r="U40" s="420"/>
      <c r="V40" s="423"/>
      <c r="W40" s="422"/>
      <c r="X40" s="420"/>
      <c r="Y40" s="420"/>
      <c r="Z40" s="423"/>
    </row>
    <row r="41" spans="2:26" ht="10.5" customHeight="1">
      <c r="B41" s="321" t="s">
        <v>328</v>
      </c>
      <c r="C41" s="407"/>
      <c r="D41" s="408"/>
      <c r="E41" s="408"/>
      <c r="F41" s="409"/>
      <c r="G41" s="410"/>
      <c r="H41" s="408"/>
      <c r="I41" s="408"/>
      <c r="J41" s="409"/>
      <c r="K41" s="322"/>
      <c r="L41" s="410"/>
      <c r="M41" s="408"/>
      <c r="N41" s="413"/>
      <c r="O41" s="407"/>
      <c r="P41" s="408"/>
      <c r="Q41" s="408"/>
      <c r="R41" s="413"/>
      <c r="S41" s="407"/>
      <c r="T41" s="408"/>
      <c r="U41" s="408"/>
      <c r="V41" s="409"/>
      <c r="W41" s="407"/>
      <c r="X41" s="408"/>
      <c r="Y41" s="408"/>
      <c r="Z41" s="409"/>
    </row>
    <row r="42" spans="2:26" ht="10.5" customHeight="1">
      <c r="B42" s="323" t="s">
        <v>329</v>
      </c>
      <c r="C42" s="407"/>
      <c r="D42" s="408"/>
      <c r="E42" s="408"/>
      <c r="F42" s="409"/>
      <c r="G42" s="410"/>
      <c r="H42" s="408"/>
      <c r="I42" s="408"/>
      <c r="J42" s="409"/>
      <c r="K42" s="322"/>
      <c r="L42" s="410"/>
      <c r="M42" s="325"/>
      <c r="N42" s="334"/>
      <c r="O42" s="324"/>
      <c r="P42" s="325"/>
      <c r="Q42" s="408"/>
      <c r="R42" s="413"/>
      <c r="S42" s="407"/>
      <c r="T42" s="408"/>
      <c r="U42" s="408"/>
      <c r="V42" s="409"/>
      <c r="W42" s="407"/>
      <c r="X42" s="408"/>
      <c r="Y42" s="408"/>
      <c r="Z42" s="409"/>
    </row>
    <row r="43" spans="2:26" ht="10.5" customHeight="1">
      <c r="B43" s="323" t="s">
        <v>183</v>
      </c>
      <c r="C43" s="424"/>
      <c r="D43" s="425"/>
      <c r="E43" s="425"/>
      <c r="F43" s="428"/>
      <c r="G43" s="429"/>
      <c r="H43" s="425"/>
      <c r="I43" s="425"/>
      <c r="J43" s="338"/>
      <c r="K43" s="339"/>
      <c r="L43" s="340"/>
      <c r="M43" s="425"/>
      <c r="N43" s="432"/>
      <c r="O43" s="424"/>
      <c r="P43" s="425"/>
      <c r="Q43" s="425"/>
      <c r="R43" s="432"/>
      <c r="S43" s="424"/>
      <c r="T43" s="425"/>
      <c r="U43" s="425"/>
      <c r="V43" s="428"/>
      <c r="W43" s="424"/>
      <c r="X43" s="425"/>
      <c r="Y43" s="425"/>
      <c r="Z43" s="428"/>
    </row>
    <row r="44" spans="2:26" ht="10.5" customHeight="1" thickBot="1">
      <c r="B44" s="323" t="s">
        <v>184</v>
      </c>
      <c r="C44" s="426"/>
      <c r="D44" s="427"/>
      <c r="E44" s="427"/>
      <c r="F44" s="430"/>
      <c r="G44" s="431"/>
      <c r="H44" s="427"/>
      <c r="I44" s="427"/>
      <c r="J44" s="430"/>
      <c r="K44" s="341"/>
      <c r="L44" s="342"/>
      <c r="M44" s="343"/>
      <c r="N44" s="344"/>
      <c r="O44" s="426"/>
      <c r="P44" s="427"/>
      <c r="Q44" s="427"/>
      <c r="R44" s="433"/>
      <c r="S44" s="426"/>
      <c r="T44" s="427"/>
      <c r="U44" s="427"/>
      <c r="V44" s="430"/>
      <c r="W44" s="426"/>
      <c r="X44" s="427"/>
      <c r="Y44" s="427"/>
      <c r="Z44" s="430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showGridLines="0" zoomScale="150" zoomScaleNormal="150" workbookViewId="0" topLeftCell="A1">
      <selection activeCell="E45" sqref="E45"/>
    </sheetView>
  </sheetViews>
  <sheetFormatPr defaultColWidth="11.00390625" defaultRowHeight="12.75"/>
  <cols>
    <col min="1" max="1" width="6.375" style="0" customWidth="1"/>
    <col min="2" max="2" width="30.625" style="0" customWidth="1"/>
    <col min="3" max="3" width="21.875" style="0" customWidth="1"/>
    <col min="4" max="4" width="6.625" style="0" customWidth="1"/>
    <col min="5" max="5" width="11.125" style="0" customWidth="1"/>
    <col min="7" max="7" width="11.125" style="0" customWidth="1"/>
  </cols>
  <sheetData>
    <row r="1" spans="2:5" ht="12">
      <c r="B1" s="1"/>
      <c r="C1" s="1"/>
      <c r="D1" s="1"/>
      <c r="E1" s="1"/>
    </row>
    <row r="2" spans="2:5" ht="16.5">
      <c r="B2" s="82" t="s">
        <v>246</v>
      </c>
      <c r="C2" s="73" t="s">
        <v>98</v>
      </c>
      <c r="D2" s="1"/>
      <c r="E2" s="1"/>
    </row>
    <row r="3" spans="2:5" ht="12.75" customHeight="1">
      <c r="B3" s="82" t="s">
        <v>98</v>
      </c>
      <c r="C3" s="73"/>
      <c r="D3" s="1"/>
      <c r="E3" s="1"/>
    </row>
    <row r="4" spans="2:5" ht="12.75" customHeight="1">
      <c r="B4" s="260" t="s">
        <v>30</v>
      </c>
      <c r="C4" s="385" t="s">
        <v>326</v>
      </c>
      <c r="D4" s="85"/>
      <c r="E4" s="85"/>
    </row>
    <row r="5" spans="2:5" ht="15.75" customHeight="1">
      <c r="B5" s="82"/>
      <c r="C5" s="386" t="s">
        <v>327</v>
      </c>
      <c r="D5" s="33"/>
      <c r="E5" s="33"/>
    </row>
    <row r="6" spans="2:5" ht="15.75" customHeight="1">
      <c r="B6" s="82"/>
      <c r="C6" s="386" t="s">
        <v>473</v>
      </c>
      <c r="D6" s="33"/>
      <c r="E6" s="33"/>
    </row>
    <row r="7" spans="2:5" ht="12.75" customHeight="1">
      <c r="B7" s="82"/>
      <c r="C7" s="73"/>
      <c r="D7" s="1"/>
      <c r="E7" s="1"/>
    </row>
    <row r="8" spans="2:5" ht="12">
      <c r="B8" s="93" t="s">
        <v>44</v>
      </c>
      <c r="C8" s="360">
        <v>2008</v>
      </c>
      <c r="D8" s="359"/>
      <c r="E8" s="1"/>
    </row>
    <row r="9" spans="2:5" ht="12">
      <c r="B9" s="94" t="s">
        <v>43</v>
      </c>
      <c r="C9" s="360" t="s">
        <v>112</v>
      </c>
      <c r="D9" s="359"/>
      <c r="E9" s="83" t="s">
        <v>98</v>
      </c>
    </row>
    <row r="10" spans="2:5" ht="12">
      <c r="B10" s="92"/>
      <c r="C10" s="1"/>
      <c r="D10" s="1"/>
      <c r="E10" s="98" t="s">
        <v>122</v>
      </c>
    </row>
    <row r="11" spans="2:5" ht="12">
      <c r="B11" s="93" t="s">
        <v>182</v>
      </c>
      <c r="C11" s="138">
        <v>5964</v>
      </c>
      <c r="D11" s="100" t="s">
        <v>10</v>
      </c>
      <c r="E11" s="140">
        <v>2.1</v>
      </c>
    </row>
    <row r="12" spans="2:5" ht="12">
      <c r="B12" s="94" t="s">
        <v>244</v>
      </c>
      <c r="C12" s="138">
        <v>1016</v>
      </c>
      <c r="D12" s="100" t="s">
        <v>10</v>
      </c>
      <c r="E12" s="140">
        <v>2.3</v>
      </c>
    </row>
    <row r="13" spans="2:5" ht="12">
      <c r="B13" s="94" t="s">
        <v>118</v>
      </c>
      <c r="C13" s="138">
        <v>2033567</v>
      </c>
      <c r="D13" s="100" t="s">
        <v>10</v>
      </c>
      <c r="E13" s="140"/>
    </row>
    <row r="14" spans="2:5" ht="12">
      <c r="B14" s="94" t="s">
        <v>119</v>
      </c>
      <c r="C14" s="138">
        <v>353000</v>
      </c>
      <c r="D14" s="100" t="s">
        <v>10</v>
      </c>
      <c r="E14" s="140"/>
    </row>
    <row r="15" spans="2:5" ht="12">
      <c r="B15" s="94" t="s">
        <v>0</v>
      </c>
      <c r="C15" s="138">
        <v>173</v>
      </c>
      <c r="D15" s="100" t="s">
        <v>281</v>
      </c>
      <c r="E15" s="140"/>
    </row>
    <row r="16" spans="2:5" ht="12">
      <c r="B16" s="92"/>
      <c r="C16" s="31"/>
      <c r="D16" s="31"/>
      <c r="E16" s="83"/>
    </row>
    <row r="17" spans="2:7" ht="12">
      <c r="B17" s="93" t="s">
        <v>120</v>
      </c>
      <c r="C17" s="139">
        <v>3322694000</v>
      </c>
      <c r="D17" s="100" t="s">
        <v>98</v>
      </c>
      <c r="E17" s="140"/>
      <c r="G17" t="s">
        <v>98</v>
      </c>
    </row>
    <row r="18" spans="2:5" ht="12">
      <c r="B18" s="94" t="s">
        <v>121</v>
      </c>
      <c r="C18" s="139">
        <v>934134000</v>
      </c>
      <c r="D18" s="100" t="s">
        <v>98</v>
      </c>
      <c r="E18" s="140"/>
    </row>
    <row r="19" spans="2:5" ht="12">
      <c r="B19" s="92"/>
      <c r="C19" s="31"/>
      <c r="D19" s="31"/>
      <c r="E19" s="83"/>
    </row>
    <row r="20" spans="2:5" ht="12">
      <c r="B20" s="93" t="s">
        <v>123</v>
      </c>
      <c r="C20" s="101">
        <v>191</v>
      </c>
      <c r="D20" s="100" t="s">
        <v>173</v>
      </c>
      <c r="E20" s="99">
        <f>((C20/((C17/(1+(E17/100)))/(C13/(1+(E13/100)))/12))-1)*100</f>
        <v>40.27579921593745</v>
      </c>
    </row>
    <row r="21" spans="2:5" ht="12">
      <c r="B21" s="94" t="s">
        <v>41</v>
      </c>
      <c r="C21" s="101">
        <v>300</v>
      </c>
      <c r="D21" s="100" t="s">
        <v>173</v>
      </c>
      <c r="E21" s="99">
        <f>((C21/((C18/(1+(E18/100)))/(C14/(1+(E14/100)))/12))-1)*100</f>
        <v>36.04043959431944</v>
      </c>
    </row>
    <row r="22" spans="2:5" ht="12">
      <c r="B22" s="92" t="s">
        <v>98</v>
      </c>
      <c r="C22" s="31" t="s">
        <v>98</v>
      </c>
      <c r="D22" s="31" t="s">
        <v>98</v>
      </c>
      <c r="E22" s="83"/>
    </row>
    <row r="23" spans="2:5" ht="12">
      <c r="B23" s="93" t="s">
        <v>113</v>
      </c>
      <c r="C23" s="138">
        <v>5.7</v>
      </c>
      <c r="D23" s="100" t="s">
        <v>38</v>
      </c>
      <c r="E23" s="83"/>
    </row>
    <row r="24" spans="2:6" ht="12">
      <c r="B24" s="94" t="s">
        <v>245</v>
      </c>
      <c r="C24" s="139">
        <v>5590000000</v>
      </c>
      <c r="D24" s="100" t="s">
        <v>280</v>
      </c>
      <c r="E24" s="206">
        <v>6.6</v>
      </c>
      <c r="F24" s="203"/>
    </row>
    <row r="25" spans="2:5" ht="12">
      <c r="B25" s="92"/>
      <c r="C25" s="31"/>
      <c r="D25" s="31"/>
      <c r="E25" s="83"/>
    </row>
    <row r="26" spans="2:5" ht="12">
      <c r="B26" s="93" t="s">
        <v>174</v>
      </c>
      <c r="C26" s="138">
        <v>80300</v>
      </c>
      <c r="D26" s="100" t="s">
        <v>205</v>
      </c>
      <c r="E26" s="83"/>
    </row>
    <row r="27" spans="2:5" ht="12">
      <c r="B27" s="94" t="s">
        <v>1</v>
      </c>
      <c r="C27" s="139">
        <v>1881</v>
      </c>
      <c r="D27" s="100" t="s">
        <v>173</v>
      </c>
      <c r="E27" s="202"/>
    </row>
    <row r="28" spans="2:5" ht="12">
      <c r="B28" s="94" t="s">
        <v>2</v>
      </c>
      <c r="C28" s="139">
        <v>2464</v>
      </c>
      <c r="D28" s="100" t="s">
        <v>173</v>
      </c>
      <c r="E28" s="1"/>
    </row>
    <row r="29" spans="2:5" ht="12">
      <c r="B29" s="1"/>
      <c r="C29" s="31"/>
      <c r="D29" s="31"/>
      <c r="E29" s="1"/>
    </row>
    <row r="30" spans="2:5" ht="12">
      <c r="B30" s="1"/>
      <c r="C30" s="1"/>
      <c r="D30" s="1"/>
      <c r="E30" s="1"/>
    </row>
    <row r="31" spans="2:5" ht="12">
      <c r="B31" s="1"/>
      <c r="C31" s="1"/>
      <c r="D31" s="1"/>
      <c r="E31" s="1"/>
    </row>
    <row r="32" spans="2:5" ht="12">
      <c r="B32" s="1"/>
      <c r="C32" s="1"/>
      <c r="D32" s="1"/>
      <c r="E32" s="1"/>
    </row>
    <row r="33" spans="2:5" ht="12">
      <c r="B33" s="1"/>
      <c r="C33" s="1"/>
      <c r="D33" s="1"/>
      <c r="E33" s="1"/>
    </row>
    <row r="34" spans="2:5" ht="12">
      <c r="B34" s="1"/>
      <c r="C34" s="204" t="s">
        <v>181</v>
      </c>
      <c r="D34" s="205">
        <v>2007</v>
      </c>
      <c r="E34" s="1"/>
    </row>
    <row r="35" spans="2:5" ht="12">
      <c r="B35" s="1"/>
      <c r="C35" s="1"/>
      <c r="D35" s="1"/>
      <c r="E35" s="1"/>
    </row>
    <row r="36" spans="2:5" ht="12">
      <c r="B36" s="1" t="s">
        <v>98</v>
      </c>
      <c r="C36" s="1" t="s">
        <v>98</v>
      </c>
      <c r="D36" s="83" t="s">
        <v>38</v>
      </c>
      <c r="E36" s="1"/>
    </row>
    <row r="37" spans="2:5" ht="12">
      <c r="B37" s="63" t="s">
        <v>98</v>
      </c>
      <c r="C37" s="102" t="s">
        <v>39</v>
      </c>
      <c r="D37" s="136">
        <v>122</v>
      </c>
      <c r="E37" s="1"/>
    </row>
    <row r="38" spans="2:5" ht="12">
      <c r="B38" s="51" t="s">
        <v>98</v>
      </c>
      <c r="C38" s="103" t="s">
        <v>40</v>
      </c>
      <c r="D38" s="136">
        <v>22</v>
      </c>
      <c r="E38" s="1"/>
    </row>
    <row r="39" spans="2:5" ht="12">
      <c r="B39" s="63"/>
      <c r="C39" s="104" t="s">
        <v>247</v>
      </c>
      <c r="D39" s="136">
        <v>100</v>
      </c>
      <c r="E39" s="1"/>
    </row>
    <row r="40" spans="2:5" ht="12">
      <c r="B40" s="51"/>
      <c r="C40" s="103" t="s">
        <v>311</v>
      </c>
      <c r="D40" s="136">
        <v>30.7</v>
      </c>
      <c r="E40" s="1"/>
    </row>
    <row r="41" spans="2:5" ht="12">
      <c r="B41" s="63"/>
      <c r="C41" s="104" t="s">
        <v>57</v>
      </c>
      <c r="D41" s="136">
        <f>D39-D40</f>
        <v>69.3</v>
      </c>
      <c r="E41" s="1"/>
    </row>
    <row r="42" spans="2:5" ht="12">
      <c r="B42" s="51"/>
      <c r="C42" s="103" t="s">
        <v>312</v>
      </c>
      <c r="D42" s="136">
        <v>32</v>
      </c>
      <c r="E42" s="1"/>
    </row>
    <row r="43" spans="2:5" ht="12">
      <c r="B43" s="63"/>
      <c r="C43" s="104" t="s">
        <v>58</v>
      </c>
      <c r="D43" s="136">
        <f>D41-D42</f>
        <v>37.3</v>
      </c>
      <c r="E43" s="1"/>
    </row>
    <row r="44" spans="2:5" ht="12">
      <c r="B44" s="51"/>
      <c r="C44" s="103" t="s">
        <v>309</v>
      </c>
      <c r="D44" s="136">
        <v>11.3</v>
      </c>
      <c r="E44" s="1"/>
    </row>
    <row r="45" spans="2:5" ht="12">
      <c r="B45" s="51"/>
      <c r="C45" s="103" t="s">
        <v>310</v>
      </c>
      <c r="D45" s="136">
        <v>17.2</v>
      </c>
      <c r="E45" s="1"/>
    </row>
    <row r="46" spans="2:5" ht="12">
      <c r="B46" s="63"/>
      <c r="C46" s="104" t="s">
        <v>59</v>
      </c>
      <c r="D46" s="136">
        <f>D43-D44-D45</f>
        <v>8.799999999999997</v>
      </c>
      <c r="E46" s="1"/>
    </row>
    <row r="47" spans="2:5" ht="12">
      <c r="B47" s="1"/>
      <c r="C47" s="1"/>
      <c r="D47" s="83"/>
      <c r="E4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57"/>
  <sheetViews>
    <sheetView showGridLines="0" zoomScale="150" zoomScaleNormal="150" workbookViewId="0" topLeftCell="A1">
      <selection activeCell="K30" sqref="K30"/>
    </sheetView>
  </sheetViews>
  <sheetFormatPr defaultColWidth="11.00390625" defaultRowHeight="12" customHeight="1"/>
  <cols>
    <col min="1" max="1" width="1.875" style="1" customWidth="1"/>
    <col min="2" max="2" width="13.125" style="1" customWidth="1"/>
    <col min="3" max="3" width="25.125" style="1" customWidth="1"/>
    <col min="4" max="4" width="20.375" style="1" customWidth="1"/>
    <col min="5" max="5" width="15.00390625" style="1" customWidth="1"/>
    <col min="6" max="16384" width="11.00390625" style="1" customWidth="1"/>
  </cols>
  <sheetData>
    <row r="2" ht="18" customHeight="1">
      <c r="B2" s="82" t="s">
        <v>484</v>
      </c>
    </row>
    <row r="3" spans="3:5" ht="12" customHeight="1">
      <c r="C3" s="31"/>
      <c r="D3" s="31"/>
      <c r="E3" s="31"/>
    </row>
    <row r="4" spans="3:5" ht="12" customHeight="1">
      <c r="C4" s="88" t="s">
        <v>94</v>
      </c>
      <c r="D4" s="31"/>
      <c r="E4" s="31"/>
    </row>
    <row r="5" spans="3:5" ht="12" customHeight="1">
      <c r="C5" s="31"/>
      <c r="D5" s="31"/>
      <c r="E5" s="31"/>
    </row>
    <row r="6" spans="3:5" ht="12" customHeight="1">
      <c r="C6" s="86" t="s">
        <v>81</v>
      </c>
      <c r="D6" s="106" t="s">
        <v>11</v>
      </c>
      <c r="E6" s="345">
        <v>85000</v>
      </c>
    </row>
    <row r="7" spans="3:5" ht="12" customHeight="1">
      <c r="C7" s="31"/>
      <c r="D7" s="201"/>
      <c r="E7" s="346"/>
    </row>
    <row r="8" spans="3:5" ht="12" customHeight="1">
      <c r="C8" s="86" t="s">
        <v>143</v>
      </c>
      <c r="D8" s="106" t="s">
        <v>11</v>
      </c>
      <c r="E8" s="345">
        <v>5000</v>
      </c>
    </row>
    <row r="9" spans="3:5" ht="12" customHeight="1">
      <c r="C9" s="31"/>
      <c r="D9" s="31"/>
      <c r="E9" s="347"/>
    </row>
    <row r="10" spans="3:5" ht="12" customHeight="1">
      <c r="C10" s="86" t="s">
        <v>82</v>
      </c>
      <c r="D10" s="59" t="s">
        <v>83</v>
      </c>
      <c r="E10" s="345">
        <v>0</v>
      </c>
    </row>
    <row r="11" spans="3:5" ht="12" customHeight="1">
      <c r="C11" s="31"/>
      <c r="D11" s="59" t="s">
        <v>84</v>
      </c>
      <c r="E11" s="345">
        <v>0</v>
      </c>
    </row>
    <row r="12" spans="3:5" ht="12" customHeight="1">
      <c r="C12" s="31"/>
      <c r="D12" s="59" t="s">
        <v>141</v>
      </c>
      <c r="E12" s="345">
        <v>23000</v>
      </c>
    </row>
    <row r="13" spans="3:5" ht="12" customHeight="1">
      <c r="C13" s="31"/>
      <c r="D13" s="106" t="s">
        <v>11</v>
      </c>
      <c r="E13" s="348">
        <f>SUM(E10:E12)</f>
        <v>23000</v>
      </c>
    </row>
    <row r="14" spans="3:5" ht="4.5" customHeight="1">
      <c r="C14" s="31"/>
      <c r="D14" s="31"/>
      <c r="E14" s="347"/>
    </row>
    <row r="15" spans="3:5" ht="12" customHeight="1">
      <c r="C15" s="86" t="s">
        <v>85</v>
      </c>
      <c r="D15" s="59" t="s">
        <v>86</v>
      </c>
      <c r="E15" s="345">
        <v>25000</v>
      </c>
    </row>
    <row r="16" spans="3:5" ht="12" customHeight="1">
      <c r="C16" s="31"/>
      <c r="D16" s="59" t="s">
        <v>87</v>
      </c>
      <c r="E16" s="345">
        <v>3000</v>
      </c>
    </row>
    <row r="17" spans="3:5" ht="12" customHeight="1">
      <c r="C17" s="31"/>
      <c r="D17" s="59" t="s">
        <v>88</v>
      </c>
      <c r="E17" s="345">
        <v>1000</v>
      </c>
    </row>
    <row r="18" spans="3:5" ht="12" customHeight="1">
      <c r="C18" s="31"/>
      <c r="D18" s="59" t="s">
        <v>146</v>
      </c>
      <c r="E18" s="345">
        <v>2000</v>
      </c>
    </row>
    <row r="19" spans="3:5" ht="12" customHeight="1">
      <c r="C19" s="31"/>
      <c r="D19" s="106" t="s">
        <v>11</v>
      </c>
      <c r="E19" s="349">
        <f>SUM(E15:E18)</f>
        <v>31000</v>
      </c>
    </row>
    <row r="20" spans="3:5" ht="4.5" customHeight="1">
      <c r="C20" s="31"/>
      <c r="D20" s="31"/>
      <c r="E20" s="347"/>
    </row>
    <row r="21" spans="3:5" ht="12" customHeight="1">
      <c r="C21" s="86" t="s">
        <v>144</v>
      </c>
      <c r="D21" s="59" t="s">
        <v>86</v>
      </c>
      <c r="E21" s="345">
        <v>18000</v>
      </c>
    </row>
    <row r="22" spans="3:5" ht="12" customHeight="1">
      <c r="C22" s="31"/>
      <c r="D22" s="59" t="s">
        <v>87</v>
      </c>
      <c r="E22" s="345">
        <v>0</v>
      </c>
    </row>
    <row r="23" spans="3:5" ht="12" customHeight="1">
      <c r="C23" s="31"/>
      <c r="D23" s="59" t="s">
        <v>88</v>
      </c>
      <c r="E23" s="345">
        <v>500</v>
      </c>
    </row>
    <row r="24" spans="3:5" ht="12" customHeight="1">
      <c r="C24" s="31"/>
      <c r="D24" s="59" t="s">
        <v>146</v>
      </c>
      <c r="E24" s="345">
        <v>5500</v>
      </c>
    </row>
    <row r="25" spans="3:5" ht="12" customHeight="1">
      <c r="C25" s="31"/>
      <c r="D25" s="106" t="s">
        <v>11</v>
      </c>
      <c r="E25" s="349">
        <f>SUM(E21:E24)</f>
        <v>24000</v>
      </c>
    </row>
    <row r="26" spans="3:5" ht="4.5" customHeight="1">
      <c r="C26" s="31"/>
      <c r="D26" s="31"/>
      <c r="E26" s="347"/>
    </row>
    <row r="27" spans="3:5" ht="12" customHeight="1">
      <c r="C27" s="86" t="s">
        <v>142</v>
      </c>
      <c r="D27" s="106" t="s">
        <v>11</v>
      </c>
      <c r="E27" s="345">
        <v>12000</v>
      </c>
    </row>
    <row r="28" spans="3:5" ht="4.5" customHeight="1">
      <c r="C28" s="31"/>
      <c r="D28" s="31"/>
      <c r="E28" s="347"/>
    </row>
    <row r="29" spans="3:5" ht="12" customHeight="1">
      <c r="C29" s="86" t="s">
        <v>147</v>
      </c>
      <c r="D29" s="106" t="s">
        <v>11</v>
      </c>
      <c r="E29" s="345">
        <v>5000</v>
      </c>
    </row>
    <row r="30" spans="3:5" ht="12" customHeight="1">
      <c r="C30" s="31"/>
      <c r="D30" s="31"/>
      <c r="E30" s="347"/>
    </row>
    <row r="31" spans="3:5" ht="12" customHeight="1">
      <c r="C31" s="89" t="s">
        <v>155</v>
      </c>
      <c r="D31" s="33"/>
      <c r="E31" s="350">
        <f>E6+E8+E13+E19+E25+E27+E29</f>
        <v>185000</v>
      </c>
    </row>
    <row r="32" spans="3:5" ht="12" customHeight="1">
      <c r="C32" s="31"/>
      <c r="D32" s="31"/>
      <c r="E32" s="347"/>
    </row>
    <row r="33" spans="3:5" ht="12" customHeight="1">
      <c r="C33" s="31"/>
      <c r="D33" s="31"/>
      <c r="E33" s="347"/>
    </row>
    <row r="34" spans="3:5" ht="12" customHeight="1">
      <c r="C34" s="88" t="s">
        <v>148</v>
      </c>
      <c r="D34" s="31"/>
      <c r="E34" s="347"/>
    </row>
    <row r="35" spans="3:5" ht="12" customHeight="1">
      <c r="C35" s="31"/>
      <c r="D35" s="31"/>
      <c r="E35" s="347"/>
    </row>
    <row r="36" spans="3:5" ht="12" customHeight="1">
      <c r="C36" s="85" t="s">
        <v>149</v>
      </c>
      <c r="D36" s="106" t="s">
        <v>11</v>
      </c>
      <c r="E36" s="345">
        <v>1000</v>
      </c>
    </row>
    <row r="37" spans="3:5" ht="4.5" customHeight="1">
      <c r="C37" s="31"/>
      <c r="D37" s="31"/>
      <c r="E37" s="347"/>
    </row>
    <row r="38" spans="3:5" ht="12" customHeight="1">
      <c r="C38" s="86" t="s">
        <v>150</v>
      </c>
      <c r="D38" s="106" t="s">
        <v>11</v>
      </c>
      <c r="E38" s="345">
        <v>2000</v>
      </c>
    </row>
    <row r="39" spans="3:5" ht="4.5" customHeight="1">
      <c r="C39" s="31"/>
      <c r="D39" s="31"/>
      <c r="E39" s="347"/>
    </row>
    <row r="40" spans="3:5" ht="12" customHeight="1">
      <c r="C40" s="85" t="s">
        <v>375</v>
      </c>
      <c r="D40" s="106" t="s">
        <v>11</v>
      </c>
      <c r="E40" s="345">
        <v>4500</v>
      </c>
    </row>
    <row r="41" spans="3:5" ht="3.75" customHeight="1">
      <c r="C41" s="31"/>
      <c r="D41" s="201"/>
      <c r="E41" s="351"/>
    </row>
    <row r="42" spans="3:5" ht="12" customHeight="1">
      <c r="C42" s="86" t="s">
        <v>145</v>
      </c>
      <c r="D42" s="106" t="s">
        <v>11</v>
      </c>
      <c r="E42" s="345">
        <v>2000</v>
      </c>
    </row>
    <row r="43" spans="3:5" ht="4.5" customHeight="1">
      <c r="C43" s="31"/>
      <c r="D43" s="31"/>
      <c r="E43" s="347"/>
    </row>
    <row r="44" spans="3:5" ht="12" customHeight="1">
      <c r="C44" s="86" t="s">
        <v>316</v>
      </c>
      <c r="D44" s="106" t="s">
        <v>11</v>
      </c>
      <c r="E44" s="345">
        <v>9000</v>
      </c>
    </row>
    <row r="45" spans="3:5" ht="4.5" customHeight="1">
      <c r="C45" s="31"/>
      <c r="D45" s="31" t="s">
        <v>98</v>
      </c>
      <c r="E45" s="347"/>
    </row>
    <row r="46" spans="3:5" ht="12" customHeight="1">
      <c r="C46" s="86" t="s">
        <v>151</v>
      </c>
      <c r="D46" s="106" t="s">
        <v>11</v>
      </c>
      <c r="E46" s="345">
        <v>5000</v>
      </c>
    </row>
    <row r="47" spans="4:5" ht="4.5" customHeight="1">
      <c r="D47" s="31" t="s">
        <v>98</v>
      </c>
      <c r="E47" s="203"/>
    </row>
    <row r="48" spans="3:5" ht="12" customHeight="1">
      <c r="C48" s="86" t="s">
        <v>286</v>
      </c>
      <c r="D48" s="106" t="s">
        <v>11</v>
      </c>
      <c r="E48" s="345">
        <v>5000</v>
      </c>
    </row>
    <row r="49" spans="3:5" ht="4.5" customHeight="1">
      <c r="C49" s="31"/>
      <c r="D49" s="201"/>
      <c r="E49" s="346"/>
    </row>
    <row r="50" spans="3:5" ht="12" customHeight="1">
      <c r="C50" s="86" t="s">
        <v>152</v>
      </c>
      <c r="D50" s="106" t="s">
        <v>11</v>
      </c>
      <c r="E50" s="345">
        <v>3500</v>
      </c>
    </row>
    <row r="51" spans="4:5" ht="4.5" customHeight="1">
      <c r="D51" s="31"/>
      <c r="E51" s="203"/>
    </row>
    <row r="52" spans="3:5" ht="12" customHeight="1">
      <c r="C52" s="86" t="s">
        <v>99</v>
      </c>
      <c r="D52" s="106" t="s">
        <v>11</v>
      </c>
      <c r="E52" s="345">
        <v>3000</v>
      </c>
    </row>
    <row r="53" ht="12" customHeight="1">
      <c r="D53" s="31"/>
    </row>
    <row r="54" spans="3:5" ht="12" customHeight="1">
      <c r="C54" s="89" t="s">
        <v>156</v>
      </c>
      <c r="D54" s="33"/>
      <c r="E54" s="107">
        <f>E36+E38+E40+E42+E44+E46+E48+E50+E52</f>
        <v>35000</v>
      </c>
    </row>
    <row r="56" ht="12" customHeight="1" thickBot="1"/>
    <row r="57" spans="3:5" ht="12" customHeight="1" thickBot="1">
      <c r="C57" s="108" t="s">
        <v>157</v>
      </c>
      <c r="D57" s="109"/>
      <c r="E57" s="110">
        <f>E31+E54</f>
        <v>220000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showGridLines="0" zoomScale="150" zoomScaleNormal="150" workbookViewId="0" topLeftCell="A1">
      <selection activeCell="H29" sqref="H29"/>
    </sheetView>
  </sheetViews>
  <sheetFormatPr defaultColWidth="11.00390625" defaultRowHeight="12.75"/>
  <cols>
    <col min="1" max="1" width="2.125" style="1" customWidth="1"/>
    <col min="2" max="2" width="14.625" style="1" customWidth="1"/>
    <col min="3" max="3" width="24.625" style="1" customWidth="1"/>
    <col min="4" max="4" width="14.125" style="1" customWidth="1"/>
    <col min="5" max="16384" width="11.00390625" style="1" customWidth="1"/>
  </cols>
  <sheetData>
    <row r="1" ht="12.75"/>
    <row r="2" spans="1:2" ht="18">
      <c r="A2" s="1" t="s">
        <v>98</v>
      </c>
      <c r="B2" s="82" t="s">
        <v>163</v>
      </c>
    </row>
    <row r="3" ht="12.75"/>
    <row r="4" spans="2:4" ht="12.75">
      <c r="B4" s="121" t="s">
        <v>153</v>
      </c>
      <c r="C4" s="105" t="s">
        <v>154</v>
      </c>
      <c r="D4" s="141">
        <v>8000</v>
      </c>
    </row>
    <row r="5" spans="2:4" ht="12.75">
      <c r="B5" s="79" t="s">
        <v>98</v>
      </c>
      <c r="C5" s="105" t="s">
        <v>124</v>
      </c>
      <c r="D5" s="141">
        <v>120000</v>
      </c>
    </row>
    <row r="6" spans="2:4" ht="12.75">
      <c r="B6" s="79"/>
      <c r="C6" s="122" t="s">
        <v>11</v>
      </c>
      <c r="D6" s="123">
        <f>SUM(D4:D5)</f>
        <v>128000</v>
      </c>
    </row>
    <row r="7" spans="2:4" ht="12.75">
      <c r="B7" s="79" t="s">
        <v>98</v>
      </c>
      <c r="C7" s="79"/>
      <c r="D7" s="142" t="s">
        <v>98</v>
      </c>
    </row>
    <row r="8" spans="2:4" ht="12.75">
      <c r="B8" s="121" t="s">
        <v>276</v>
      </c>
      <c r="C8" s="105" t="s">
        <v>70</v>
      </c>
      <c r="D8" s="145">
        <v>90000</v>
      </c>
    </row>
    <row r="9" spans="2:4" ht="12.75">
      <c r="B9" s="79"/>
      <c r="C9" s="105" t="s">
        <v>71</v>
      </c>
      <c r="D9" s="145">
        <v>0</v>
      </c>
    </row>
    <row r="10" spans="2:4" ht="12.75">
      <c r="B10" s="79"/>
      <c r="C10" s="105" t="s">
        <v>214</v>
      </c>
      <c r="D10" s="145">
        <v>0</v>
      </c>
    </row>
    <row r="11" spans="2:4" ht="12.75">
      <c r="B11" s="79"/>
      <c r="C11" s="105" t="s">
        <v>290</v>
      </c>
      <c r="D11" s="145">
        <v>0</v>
      </c>
    </row>
    <row r="12" spans="2:4" ht="12.75">
      <c r="B12" s="79"/>
      <c r="C12" s="105" t="s">
        <v>54</v>
      </c>
      <c r="D12" s="145"/>
    </row>
    <row r="13" spans="2:4" ht="12.75">
      <c r="B13" s="79"/>
      <c r="C13" s="122" t="s">
        <v>11</v>
      </c>
      <c r="D13" s="123">
        <f>SUM(D8:D12)</f>
        <v>90000</v>
      </c>
    </row>
    <row r="14" spans="2:4" ht="12">
      <c r="B14" s="79"/>
      <c r="C14" s="79"/>
      <c r="D14" s="142"/>
    </row>
    <row r="15" spans="2:4" ht="12">
      <c r="B15" s="121" t="s">
        <v>215</v>
      </c>
      <c r="C15" s="105" t="s">
        <v>288</v>
      </c>
      <c r="D15" s="145">
        <v>0</v>
      </c>
    </row>
    <row r="16" spans="3:6" ht="12">
      <c r="C16" s="105" t="s">
        <v>55</v>
      </c>
      <c r="D16" s="145">
        <v>0</v>
      </c>
      <c r="F16" s="1" t="s">
        <v>185</v>
      </c>
    </row>
    <row r="17" spans="3:4" ht="12">
      <c r="C17" s="122" t="s">
        <v>11</v>
      </c>
      <c r="D17" s="123">
        <f>SUM(D15:D16)</f>
        <v>0</v>
      </c>
    </row>
    <row r="18" spans="3:4" ht="12">
      <c r="C18" s="79"/>
      <c r="D18" s="143"/>
    </row>
    <row r="19" spans="3:4" ht="12">
      <c r="C19" s="122" t="s">
        <v>48</v>
      </c>
      <c r="D19" s="123">
        <f>D6+D13+D17</f>
        <v>218000</v>
      </c>
    </row>
    <row r="22" spans="3:4" ht="12">
      <c r="C22" s="122" t="s">
        <v>172</v>
      </c>
      <c r="D22" s="90">
        <f>Pääomantarve!E57</f>
        <v>220000</v>
      </c>
    </row>
    <row r="23" spans="3:4" ht="12">
      <c r="C23" s="122" t="s">
        <v>95</v>
      </c>
      <c r="D23" s="90">
        <f>D19-D22</f>
        <v>-2000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9"/>
  <sheetViews>
    <sheetView showGridLines="0" zoomScale="150" zoomScaleNormal="150" workbookViewId="0" topLeftCell="B7">
      <selection activeCell="H14" sqref="H14"/>
    </sheetView>
  </sheetViews>
  <sheetFormatPr defaultColWidth="11.00390625" defaultRowHeight="12.75"/>
  <cols>
    <col min="1" max="1" width="0.12890625" style="144" hidden="1" customWidth="1"/>
    <col min="2" max="2" width="19.625" style="144" customWidth="1"/>
    <col min="3" max="3" width="11.875" style="144" customWidth="1"/>
    <col min="4" max="4" width="10.875" style="144" customWidth="1"/>
    <col min="5" max="5" width="12.625" style="144" customWidth="1"/>
    <col min="6" max="6" width="13.375" style="144" customWidth="1"/>
    <col min="7" max="7" width="13.00390625" style="144" customWidth="1"/>
    <col min="8" max="16384" width="11.00390625" style="144" customWidth="1"/>
  </cols>
  <sheetData>
    <row r="2" spans="2:7" ht="16.5">
      <c r="B2" s="82" t="s">
        <v>291</v>
      </c>
      <c r="C2" s="55"/>
      <c r="D2" s="23"/>
      <c r="E2" s="23"/>
      <c r="F2" s="23"/>
      <c r="G2" s="23"/>
    </row>
    <row r="3" spans="2:7" ht="16.5">
      <c r="B3" s="82"/>
      <c r="C3" s="55"/>
      <c r="D3" s="23"/>
      <c r="E3" s="23"/>
      <c r="F3" s="23"/>
      <c r="G3" s="23"/>
    </row>
    <row r="4" spans="2:7" ht="51.75" customHeight="1">
      <c r="B4" s="127" t="s">
        <v>98</v>
      </c>
      <c r="C4" s="128" t="s">
        <v>62</v>
      </c>
      <c r="D4" s="129" t="s">
        <v>115</v>
      </c>
      <c r="E4" s="129" t="s">
        <v>61</v>
      </c>
      <c r="F4" s="129" t="s">
        <v>126</v>
      </c>
      <c r="G4" s="128" t="s">
        <v>197</v>
      </c>
    </row>
    <row r="5" spans="2:7" ht="15">
      <c r="B5" s="23"/>
      <c r="C5" s="39" t="s">
        <v>38</v>
      </c>
      <c r="D5" s="49" t="s">
        <v>248</v>
      </c>
      <c r="E5" s="39" t="s">
        <v>38</v>
      </c>
      <c r="F5" s="49" t="s">
        <v>248</v>
      </c>
      <c r="G5" s="49" t="s">
        <v>38</v>
      </c>
    </row>
    <row r="6" spans="2:7" ht="4.5" customHeight="1" thickBot="1">
      <c r="B6" s="25"/>
      <c r="C6" s="23"/>
      <c r="D6" s="35"/>
      <c r="E6" s="23"/>
      <c r="F6" s="30"/>
      <c r="G6" s="35"/>
    </row>
    <row r="7" spans="2:7" ht="15">
      <c r="B7" s="146" t="s">
        <v>52</v>
      </c>
      <c r="C7" s="217">
        <v>15</v>
      </c>
      <c r="D7" s="56"/>
      <c r="E7" s="37"/>
      <c r="F7" s="36"/>
      <c r="G7" s="149">
        <v>65</v>
      </c>
    </row>
    <row r="8" spans="2:7" ht="15">
      <c r="B8" s="216" t="s">
        <v>224</v>
      </c>
      <c r="C8" s="208"/>
      <c r="D8" s="160">
        <v>8</v>
      </c>
      <c r="E8" s="160">
        <v>30</v>
      </c>
      <c r="F8" s="35"/>
      <c r="G8" s="50"/>
    </row>
    <row r="9" spans="2:7" ht="15">
      <c r="B9" s="216" t="s">
        <v>225</v>
      </c>
      <c r="C9" s="208"/>
      <c r="D9" s="160">
        <v>10</v>
      </c>
      <c r="E9" s="160">
        <v>30</v>
      </c>
      <c r="F9" s="264"/>
      <c r="G9" s="50"/>
    </row>
    <row r="10" spans="2:7" ht="15">
      <c r="B10" s="216" t="s">
        <v>226</v>
      </c>
      <c r="C10" s="208"/>
      <c r="D10" s="160">
        <v>12</v>
      </c>
      <c r="E10" s="160">
        <v>30</v>
      </c>
      <c r="F10" s="264"/>
      <c r="G10" s="50"/>
    </row>
    <row r="11" spans="2:7" ht="15">
      <c r="B11" s="216" t="s">
        <v>241</v>
      </c>
      <c r="C11" s="208"/>
      <c r="D11" s="160">
        <v>10</v>
      </c>
      <c r="E11" s="160">
        <v>10</v>
      </c>
      <c r="F11" s="264"/>
      <c r="G11" s="50"/>
    </row>
    <row r="12" spans="2:7" ht="15.75" thickBot="1">
      <c r="B12" s="111" t="s">
        <v>98</v>
      </c>
      <c r="C12" s="150" t="s">
        <v>98</v>
      </c>
      <c r="D12" s="207" t="s">
        <v>102</v>
      </c>
      <c r="E12" s="57">
        <f>SUM(E8:E11)</f>
        <v>100</v>
      </c>
      <c r="F12" s="263">
        <f>(D8*E8+D9*E9+D10*E10+D11*E11)/100</f>
        <v>10</v>
      </c>
      <c r="G12" s="151"/>
    </row>
    <row r="13" spans="2:7" ht="4.5" customHeight="1" thickBot="1">
      <c r="B13" s="112"/>
      <c r="C13" s="24"/>
      <c r="D13" s="35"/>
      <c r="E13" s="39"/>
      <c r="F13" s="43"/>
      <c r="G13" s="35"/>
    </row>
    <row r="14" spans="2:7" ht="15">
      <c r="B14" s="146" t="s">
        <v>53</v>
      </c>
      <c r="C14" s="148">
        <v>35</v>
      </c>
      <c r="D14" s="40"/>
      <c r="E14" s="41"/>
      <c r="F14" s="265"/>
      <c r="G14" s="152">
        <v>68</v>
      </c>
    </row>
    <row r="15" spans="2:7" ht="15">
      <c r="B15" s="216" t="s">
        <v>227</v>
      </c>
      <c r="C15" s="208"/>
      <c r="D15" s="160">
        <v>7</v>
      </c>
      <c r="E15" s="160">
        <v>20</v>
      </c>
      <c r="F15" s="264"/>
      <c r="G15" s="50"/>
    </row>
    <row r="16" spans="2:7" ht="15">
      <c r="B16" s="216" t="s">
        <v>228</v>
      </c>
      <c r="C16" s="208"/>
      <c r="D16" s="160">
        <v>8</v>
      </c>
      <c r="E16" s="160">
        <v>20</v>
      </c>
      <c r="F16" s="264"/>
      <c r="G16" s="50"/>
    </row>
    <row r="17" spans="2:7" ht="15">
      <c r="B17" s="216" t="s">
        <v>231</v>
      </c>
      <c r="C17" s="208"/>
      <c r="D17" s="160">
        <v>11</v>
      </c>
      <c r="E17" s="160">
        <v>20</v>
      </c>
      <c r="F17" s="264"/>
      <c r="G17" s="50"/>
    </row>
    <row r="18" spans="2:7" ht="15">
      <c r="B18" s="216" t="s">
        <v>233</v>
      </c>
      <c r="C18" s="208"/>
      <c r="D18" s="160">
        <v>7</v>
      </c>
      <c r="E18" s="160">
        <v>10</v>
      </c>
      <c r="F18" s="264"/>
      <c r="G18" s="50"/>
    </row>
    <row r="19" spans="2:7" ht="15">
      <c r="B19" s="216" t="s">
        <v>232</v>
      </c>
      <c r="C19" s="208"/>
      <c r="D19" s="160">
        <v>15</v>
      </c>
      <c r="E19" s="160">
        <v>15</v>
      </c>
      <c r="F19" s="264"/>
      <c r="G19" s="50"/>
    </row>
    <row r="20" spans="2:7" ht="15">
      <c r="B20" s="216" t="s">
        <v>230</v>
      </c>
      <c r="C20" s="208"/>
      <c r="D20" s="160">
        <v>12</v>
      </c>
      <c r="E20" s="160">
        <v>15</v>
      </c>
      <c r="F20" s="264"/>
      <c r="G20" s="50"/>
    </row>
    <row r="21" spans="2:7" ht="15.75" thickBot="1">
      <c r="B21" s="111" t="s">
        <v>98</v>
      </c>
      <c r="C21" s="153" t="s">
        <v>100</v>
      </c>
      <c r="D21" s="207" t="s">
        <v>102</v>
      </c>
      <c r="E21" s="57">
        <f>SUM(E15:E20)</f>
        <v>100</v>
      </c>
      <c r="F21" s="263">
        <f>(D15*E15+D16*E16+D17*E17+D18*E18+D19*E19+D20*E20)/100</f>
        <v>9.95</v>
      </c>
      <c r="G21" s="151"/>
    </row>
    <row r="22" spans="2:7" ht="4.5" customHeight="1" thickBot="1">
      <c r="B22" s="112"/>
      <c r="C22" s="39" t="s">
        <v>98</v>
      </c>
      <c r="D22" s="35"/>
      <c r="E22" s="39"/>
      <c r="F22" s="43"/>
      <c r="G22" s="35"/>
    </row>
    <row r="23" spans="2:7" ht="15">
      <c r="B23" s="146" t="s">
        <v>237</v>
      </c>
      <c r="C23" s="148">
        <v>25</v>
      </c>
      <c r="D23" s="40"/>
      <c r="E23" s="42"/>
      <c r="F23" s="266"/>
      <c r="G23" s="152">
        <v>70</v>
      </c>
    </row>
    <row r="24" spans="2:7" ht="15">
      <c r="B24" s="216" t="s">
        <v>234</v>
      </c>
      <c r="C24" s="209" t="s">
        <v>98</v>
      </c>
      <c r="D24" s="160">
        <v>5</v>
      </c>
      <c r="E24" s="160">
        <v>40</v>
      </c>
      <c r="F24" s="264"/>
      <c r="G24" s="50"/>
    </row>
    <row r="25" spans="2:7" ht="15">
      <c r="B25" s="216" t="s">
        <v>235</v>
      </c>
      <c r="C25" s="209" t="s">
        <v>98</v>
      </c>
      <c r="D25" s="160">
        <v>8</v>
      </c>
      <c r="E25" s="160">
        <v>40</v>
      </c>
      <c r="F25" s="264"/>
      <c r="G25" s="50"/>
    </row>
    <row r="26" spans="2:7" ht="15">
      <c r="B26" s="216" t="s">
        <v>236</v>
      </c>
      <c r="C26" s="209" t="s">
        <v>98</v>
      </c>
      <c r="D26" s="160">
        <v>10</v>
      </c>
      <c r="E26" s="160">
        <v>20</v>
      </c>
      <c r="F26" s="264"/>
      <c r="G26" s="50"/>
    </row>
    <row r="27" spans="2:7" ht="15.75" thickBot="1">
      <c r="B27" s="111" t="s">
        <v>98</v>
      </c>
      <c r="C27" s="150" t="s">
        <v>98</v>
      </c>
      <c r="D27" s="207" t="s">
        <v>102</v>
      </c>
      <c r="E27" s="57">
        <f>SUM(E24:E26)</f>
        <v>100</v>
      </c>
      <c r="F27" s="263">
        <f>(D24*E24+D25*E25+D26*E26)/100</f>
        <v>7.2</v>
      </c>
      <c r="G27" s="151"/>
    </row>
    <row r="28" spans="2:7" ht="4.5" customHeight="1" thickBot="1">
      <c r="B28" s="113"/>
      <c r="C28" s="24"/>
      <c r="D28" s="35"/>
      <c r="E28" s="24"/>
      <c r="F28" s="264"/>
      <c r="G28" s="35"/>
    </row>
    <row r="29" spans="2:7" ht="15">
      <c r="B29" s="146" t="s">
        <v>93</v>
      </c>
      <c r="C29" s="154">
        <v>5</v>
      </c>
      <c r="D29" s="40"/>
      <c r="E29" s="42"/>
      <c r="F29" s="266"/>
      <c r="G29" s="152">
        <v>80</v>
      </c>
    </row>
    <row r="30" spans="2:7" ht="15">
      <c r="B30" s="216" t="s">
        <v>238</v>
      </c>
      <c r="C30" s="208"/>
      <c r="D30" s="160">
        <v>3</v>
      </c>
      <c r="E30" s="160">
        <v>40</v>
      </c>
      <c r="F30" s="264"/>
      <c r="G30" s="50"/>
    </row>
    <row r="31" spans="2:7" ht="15">
      <c r="B31" s="216" t="s">
        <v>239</v>
      </c>
      <c r="C31" s="208"/>
      <c r="D31" s="160">
        <v>3</v>
      </c>
      <c r="E31" s="160">
        <v>60</v>
      </c>
      <c r="F31" s="264"/>
      <c r="G31" s="50"/>
    </row>
    <row r="32" spans="2:7" ht="15.75" thickBot="1">
      <c r="B32" s="111" t="s">
        <v>98</v>
      </c>
      <c r="C32" s="150" t="s">
        <v>98</v>
      </c>
      <c r="D32" s="207" t="s">
        <v>102</v>
      </c>
      <c r="E32" s="57">
        <f>SUM(E30:E31)</f>
        <v>100</v>
      </c>
      <c r="F32" s="263">
        <f>(D30*E30+D31*E31)/100</f>
        <v>3</v>
      </c>
      <c r="G32" s="151"/>
    </row>
    <row r="33" spans="2:7" ht="4.5" customHeight="1" thickBot="1">
      <c r="B33" s="114"/>
      <c r="C33" s="38"/>
      <c r="D33" s="35"/>
      <c r="E33" s="38"/>
      <c r="F33" s="264"/>
      <c r="G33" s="35"/>
    </row>
    <row r="34" spans="2:7" ht="15">
      <c r="B34" s="146" t="s">
        <v>213</v>
      </c>
      <c r="C34" s="154">
        <v>5</v>
      </c>
      <c r="D34" s="40"/>
      <c r="E34" s="42"/>
      <c r="F34" s="266"/>
      <c r="G34" s="152">
        <v>85</v>
      </c>
    </row>
    <row r="35" spans="2:7" ht="15">
      <c r="B35" s="216" t="s">
        <v>240</v>
      </c>
      <c r="C35" s="208"/>
      <c r="D35" s="160">
        <v>3</v>
      </c>
      <c r="E35" s="160">
        <v>50</v>
      </c>
      <c r="F35" s="264"/>
      <c r="G35" s="50"/>
    </row>
    <row r="36" spans="2:7" ht="15">
      <c r="B36" s="216" t="s">
        <v>229</v>
      </c>
      <c r="C36" s="208"/>
      <c r="D36" s="160">
        <v>5</v>
      </c>
      <c r="E36" s="160">
        <v>50</v>
      </c>
      <c r="F36" s="264"/>
      <c r="G36" s="50"/>
    </row>
    <row r="37" spans="2:7" ht="15.75" thickBot="1">
      <c r="B37" s="111" t="s">
        <v>98</v>
      </c>
      <c r="C37" s="150" t="s">
        <v>98</v>
      </c>
      <c r="D37" s="207" t="s">
        <v>102</v>
      </c>
      <c r="E37" s="57">
        <f>SUM(E35:E36)</f>
        <v>100</v>
      </c>
      <c r="F37" s="263">
        <f>(D35*E35+D36*E36)/100</f>
        <v>4</v>
      </c>
      <c r="G37" s="151"/>
    </row>
    <row r="38" spans="2:7" ht="4.5" customHeight="1" thickBot="1">
      <c r="B38" s="115" t="s">
        <v>98</v>
      </c>
      <c r="C38" s="44" t="s">
        <v>98</v>
      </c>
      <c r="D38" s="35"/>
      <c r="E38" s="44" t="s">
        <v>98</v>
      </c>
      <c r="F38" s="43" t="s">
        <v>98</v>
      </c>
      <c r="G38" s="35"/>
    </row>
    <row r="39" spans="2:7" ht="15.75" thickBot="1">
      <c r="B39" s="147" t="s">
        <v>468</v>
      </c>
      <c r="C39" s="155">
        <v>15</v>
      </c>
      <c r="D39" s="45"/>
      <c r="E39" s="46"/>
      <c r="F39" s="267"/>
      <c r="G39" s="156">
        <v>45</v>
      </c>
    </row>
    <row r="40" spans="2:7" ht="15">
      <c r="B40" s="216" t="s">
        <v>469</v>
      </c>
      <c r="C40" s="208"/>
      <c r="D40" s="160">
        <v>10</v>
      </c>
      <c r="E40" s="160">
        <v>35</v>
      </c>
      <c r="F40" s="267"/>
      <c r="G40" s="58"/>
    </row>
    <row r="41" spans="2:7" ht="15">
      <c r="B41" s="216" t="s">
        <v>470</v>
      </c>
      <c r="C41" s="208"/>
      <c r="D41" s="160">
        <v>13</v>
      </c>
      <c r="E41" s="160">
        <v>35</v>
      </c>
      <c r="F41" s="264"/>
      <c r="G41" s="50"/>
    </row>
    <row r="42" spans="2:7" ht="15">
      <c r="B42" s="216" t="s">
        <v>471</v>
      </c>
      <c r="C42" s="208"/>
      <c r="D42" s="160">
        <v>20</v>
      </c>
      <c r="E42" s="160">
        <v>30</v>
      </c>
      <c r="F42" s="264"/>
      <c r="G42" s="50"/>
    </row>
    <row r="43" spans="2:7" ht="15.75" thickBot="1">
      <c r="B43" s="111" t="s">
        <v>98</v>
      </c>
      <c r="C43" s="150" t="s">
        <v>98</v>
      </c>
      <c r="D43" s="207" t="s">
        <v>102</v>
      </c>
      <c r="E43" s="57">
        <f>SUM(E40:E42)</f>
        <v>100</v>
      </c>
      <c r="F43" s="263">
        <f>(D40*E40+D41*E41+D42*E42)/100</f>
        <v>14.05</v>
      </c>
      <c r="G43" s="157"/>
    </row>
    <row r="44" spans="2:8" ht="15">
      <c r="B44" s="28"/>
      <c r="C44" s="158">
        <f>C7+C14+C23+C29+C34+C39</f>
        <v>100</v>
      </c>
      <c r="D44" s="24"/>
      <c r="E44" s="39"/>
      <c r="F44" s="39"/>
      <c r="G44" s="39"/>
      <c r="H44" s="159"/>
    </row>
    <row r="45" spans="2:8" ht="3.75" customHeight="1">
      <c r="B45" s="26"/>
      <c r="C45" s="26"/>
      <c r="D45" s="27"/>
      <c r="E45" s="27"/>
      <c r="F45" s="27"/>
      <c r="G45" s="27"/>
      <c r="H45" s="159"/>
    </row>
    <row r="46" spans="2:8" ht="15">
      <c r="B46" s="26"/>
      <c r="C46" s="26"/>
      <c r="D46" s="27"/>
      <c r="E46" s="27"/>
      <c r="F46" s="268" t="s">
        <v>116</v>
      </c>
      <c r="G46" s="47">
        <f>(C7*F12+F21*C14+F27*C23+F32*C29+F37*C34+F43*C39)/100</f>
        <v>9.24</v>
      </c>
      <c r="H46" s="159"/>
    </row>
    <row r="47" spans="6:8" ht="15">
      <c r="F47" s="48" t="s">
        <v>101</v>
      </c>
      <c r="G47" s="34">
        <f>(G7*C7/100)+(G14*C14/100)+(G23*C23/100)+(G29*C29/100)+(G34*C34/100)+(G39*C39/100)</f>
        <v>66.05</v>
      </c>
      <c r="H47" s="159"/>
    </row>
    <row r="48" ht="12">
      <c r="H48" s="159"/>
    </row>
    <row r="49" ht="12">
      <c r="H49" s="159"/>
    </row>
  </sheetData>
  <conditionalFormatting sqref="C44">
    <cfRule type="cellIs" priority="1" dxfId="0" operator="notEqual" stopIfTrue="1">
      <formula>100</formula>
    </cfRule>
  </conditionalFormatting>
  <conditionalFormatting sqref="E12 E21 E27 E32 E37 E43">
    <cfRule type="cellIs" priority="2" dxfId="1" operator="notEqual" stopIfTrue="1">
      <formula>100</formula>
    </cfRule>
  </conditionalFormatting>
  <dataValidations count="2">
    <dataValidation errorStyle="information" type="whole" operator="equal" allowBlank="1" showInputMessage="1" showErrorMessage="1" errorTitle="zasdfbn" error="sdfg" sqref="C44">
      <formula1>100</formula1>
    </dataValidation>
    <dataValidation allowBlank="1" showInputMessage="1" promptTitle="Ohje" prompt="Syötä tuoteryhmän prosenttiosuus kokonaismyynnistä" sqref="C7"/>
  </dataValidations>
  <printOptions/>
  <pageMargins left="0.55" right="0.35000000000000003" top="0.59" bottom="0.5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61"/>
  <sheetViews>
    <sheetView showGridLines="0" zoomScale="150" zoomScaleNormal="150" workbookViewId="0" topLeftCell="A7">
      <selection activeCell="J22" sqref="J22"/>
    </sheetView>
  </sheetViews>
  <sheetFormatPr defaultColWidth="11.00390625" defaultRowHeight="12.75"/>
  <cols>
    <col min="1" max="1" width="1.4921875" style="144" customWidth="1"/>
    <col min="2" max="2" width="16.875" style="144" customWidth="1"/>
    <col min="3" max="3" width="13.50390625" style="144" customWidth="1"/>
    <col min="4" max="4" width="11.00390625" style="144" customWidth="1"/>
    <col min="5" max="5" width="0.875" style="144" customWidth="1"/>
    <col min="6" max="6" width="8.625" style="144" customWidth="1"/>
    <col min="7" max="7" width="13.50390625" style="144" customWidth="1"/>
    <col min="8" max="8" width="13.00390625" style="144" customWidth="1"/>
    <col min="9" max="16384" width="11.00390625" style="144" customWidth="1"/>
  </cols>
  <sheetData>
    <row r="1" ht="12.75"/>
    <row r="2" spans="2:4" ht="18">
      <c r="B2" s="82" t="s">
        <v>275</v>
      </c>
      <c r="C2" s="23"/>
      <c r="D2" s="23"/>
    </row>
    <row r="3" spans="2:4" ht="15">
      <c r="B3" s="29" t="s">
        <v>98</v>
      </c>
      <c r="C3" s="23"/>
      <c r="D3" s="23"/>
    </row>
    <row r="4" spans="2:4" ht="7.5" customHeight="1">
      <c r="B4" s="25" t="s">
        <v>98</v>
      </c>
      <c r="C4" s="23"/>
      <c r="D4" s="23"/>
    </row>
    <row r="5" spans="2:8" ht="14.25">
      <c r="B5" s="218" t="s">
        <v>292</v>
      </c>
      <c r="C5" s="261" t="s">
        <v>31</v>
      </c>
      <c r="D5" s="219" t="s">
        <v>39</v>
      </c>
      <c r="E5" s="26"/>
      <c r="F5" s="220" t="s">
        <v>51</v>
      </c>
      <c r="G5" s="269">
        <f>'ostos&amp;hinnat'!G46</f>
        <v>9.24</v>
      </c>
      <c r="H5" s="26"/>
    </row>
    <row r="6" spans="2:8" ht="7.5" customHeight="1" thickBot="1">
      <c r="B6" s="221" t="s">
        <v>98</v>
      </c>
      <c r="C6" s="222" t="s">
        <v>98</v>
      </c>
      <c r="D6" s="222" t="s">
        <v>98</v>
      </c>
      <c r="E6" s="26"/>
      <c r="F6" s="26"/>
      <c r="G6" s="26"/>
      <c r="H6" s="26"/>
    </row>
    <row r="7" spans="2:8" ht="12.75" customHeight="1">
      <c r="B7" s="223" t="s">
        <v>74</v>
      </c>
      <c r="C7" s="224" t="s">
        <v>98</v>
      </c>
      <c r="D7" s="225" t="s">
        <v>98</v>
      </c>
      <c r="E7" s="26"/>
      <c r="F7" s="226"/>
      <c r="G7" s="226"/>
      <c r="H7" s="226"/>
    </row>
    <row r="8" spans="2:8" ht="3" customHeight="1">
      <c r="B8" s="227"/>
      <c r="C8" s="228"/>
      <c r="D8" s="229"/>
      <c r="E8" s="26"/>
      <c r="F8" s="226"/>
      <c r="G8" s="226"/>
      <c r="H8" s="226"/>
    </row>
    <row r="9" spans="2:8" ht="12.75" customHeight="1">
      <c r="B9" s="230" t="s">
        <v>63</v>
      </c>
      <c r="C9" s="231">
        <v>30</v>
      </c>
      <c r="D9" s="232">
        <f>C9*$G$5</f>
        <v>277.2</v>
      </c>
      <c r="E9" s="26"/>
      <c r="F9" s="226" t="s">
        <v>98</v>
      </c>
      <c r="G9" s="262" t="s">
        <v>68</v>
      </c>
      <c r="H9" s="233">
        <f>D13+D21+D29+D37+D45+D53+D61</f>
        <v>9794.4</v>
      </c>
    </row>
    <row r="10" spans="2:8" ht="12.75" customHeight="1">
      <c r="B10" s="230" t="s">
        <v>64</v>
      </c>
      <c r="C10" s="231">
        <v>30</v>
      </c>
      <c r="D10" s="232">
        <f>C10*$G$5</f>
        <v>277.2</v>
      </c>
      <c r="E10" s="26"/>
      <c r="F10" s="226"/>
      <c r="G10" s="262" t="s">
        <v>69</v>
      </c>
      <c r="H10" s="234">
        <f>H11/12</f>
        <v>42442.4</v>
      </c>
    </row>
    <row r="11" spans="2:8" ht="12.75" customHeight="1">
      <c r="B11" s="235" t="s">
        <v>72</v>
      </c>
      <c r="C11" s="231">
        <v>40</v>
      </c>
      <c r="D11" s="232">
        <f>C11*$G$5</f>
        <v>369.6</v>
      </c>
      <c r="E11" s="26"/>
      <c r="F11" s="226"/>
      <c r="G11" s="262" t="s">
        <v>212</v>
      </c>
      <c r="H11" s="233">
        <f>H9*52</f>
        <v>509308.8</v>
      </c>
    </row>
    <row r="12" spans="2:8" ht="12.75" customHeight="1">
      <c r="B12" s="235" t="s">
        <v>73</v>
      </c>
      <c r="C12" s="231">
        <v>40</v>
      </c>
      <c r="D12" s="232">
        <f>C12*$G$5</f>
        <v>369.6</v>
      </c>
      <c r="E12" s="26"/>
      <c r="F12" s="226"/>
      <c r="G12" s="114"/>
      <c r="H12" s="236"/>
    </row>
    <row r="13" spans="2:8" ht="12.75" customHeight="1" thickBot="1">
      <c r="B13" s="237" t="s">
        <v>11</v>
      </c>
      <c r="C13" s="238">
        <f>SUM(C9:C12)</f>
        <v>140</v>
      </c>
      <c r="D13" s="239">
        <f>D9+D10+D11+D12</f>
        <v>1293.6</v>
      </c>
      <c r="E13" s="26"/>
      <c r="F13" s="26"/>
      <c r="G13" s="262" t="s">
        <v>22</v>
      </c>
      <c r="H13" s="233">
        <f>H10/Perustiedot!F5</f>
        <v>606.32</v>
      </c>
    </row>
    <row r="14" spans="2:8" ht="12.75" customHeight="1" thickBot="1">
      <c r="B14" s="240"/>
      <c r="C14" s="228"/>
      <c r="D14" s="241"/>
      <c r="E14" s="26"/>
      <c r="F14" s="26"/>
      <c r="G14" s="262" t="s">
        <v>305</v>
      </c>
      <c r="H14" s="233">
        <f>H11/Perustiedot!F5</f>
        <v>7275.84</v>
      </c>
    </row>
    <row r="15" spans="2:8" ht="12.75" customHeight="1">
      <c r="B15" s="223" t="s">
        <v>75</v>
      </c>
      <c r="C15" s="224" t="s">
        <v>98</v>
      </c>
      <c r="D15" s="225" t="s">
        <v>98</v>
      </c>
      <c r="E15" s="26"/>
      <c r="F15" s="26"/>
      <c r="G15" s="26"/>
      <c r="H15" s="27"/>
    </row>
    <row r="16" spans="2:8" ht="3" customHeight="1">
      <c r="B16" s="227"/>
      <c r="C16" s="228"/>
      <c r="D16" s="229"/>
      <c r="E16" s="26"/>
      <c r="F16" s="26"/>
      <c r="G16" s="26"/>
      <c r="H16" s="27"/>
    </row>
    <row r="17" spans="2:8" ht="12.75" customHeight="1">
      <c r="B17" s="230" t="s">
        <v>63</v>
      </c>
      <c r="C17" s="231">
        <v>30</v>
      </c>
      <c r="D17" s="232">
        <f>C17*$G$5</f>
        <v>277.2</v>
      </c>
      <c r="E17" s="26"/>
      <c r="F17" s="26"/>
      <c r="G17" s="26"/>
      <c r="H17" s="27"/>
    </row>
    <row r="18" spans="2:8" ht="12.75" customHeight="1">
      <c r="B18" s="230" t="s">
        <v>64</v>
      </c>
      <c r="C18" s="231">
        <v>30</v>
      </c>
      <c r="D18" s="232">
        <f>C18*$G$5</f>
        <v>277.2</v>
      </c>
      <c r="E18" s="26"/>
      <c r="F18" s="26"/>
      <c r="G18" s="26"/>
      <c r="H18" s="26"/>
    </row>
    <row r="19" spans="2:8" ht="12.75" customHeight="1">
      <c r="B19" s="235" t="s">
        <v>72</v>
      </c>
      <c r="C19" s="231">
        <v>40</v>
      </c>
      <c r="D19" s="232">
        <f>C19*$G$5</f>
        <v>369.6</v>
      </c>
      <c r="E19" s="26"/>
      <c r="F19" s="26"/>
      <c r="G19" s="26"/>
      <c r="H19" s="26"/>
    </row>
    <row r="20" spans="2:8" ht="12.75" customHeight="1">
      <c r="B20" s="235" t="s">
        <v>73</v>
      </c>
      <c r="C20" s="231">
        <v>40</v>
      </c>
      <c r="D20" s="232">
        <f>C20*$G$5</f>
        <v>369.6</v>
      </c>
      <c r="E20" s="26"/>
      <c r="F20" s="26"/>
      <c r="G20" s="26"/>
      <c r="H20" s="26" t="s">
        <v>539</v>
      </c>
    </row>
    <row r="21" spans="2:8" ht="12.75" customHeight="1" thickBot="1">
      <c r="B21" s="237" t="s">
        <v>11</v>
      </c>
      <c r="C21" s="242">
        <f>SUM(C17:C20)</f>
        <v>140</v>
      </c>
      <c r="D21" s="239">
        <f>D17+D18+D19+D20</f>
        <v>1293.6</v>
      </c>
      <c r="E21" s="26"/>
      <c r="F21" s="26"/>
      <c r="G21" s="26"/>
      <c r="H21" s="26"/>
    </row>
    <row r="22" spans="2:8" ht="12.75" customHeight="1" thickBot="1">
      <c r="B22" s="240"/>
      <c r="C22" s="27"/>
      <c r="D22" s="241"/>
      <c r="E22" s="26"/>
      <c r="F22" s="26"/>
      <c r="G22" s="26"/>
      <c r="H22" s="26"/>
    </row>
    <row r="23" spans="2:8" ht="12.75" customHeight="1">
      <c r="B23" s="223" t="s">
        <v>76</v>
      </c>
      <c r="C23" s="224" t="s">
        <v>98</v>
      </c>
      <c r="D23" s="225" t="s">
        <v>98</v>
      </c>
      <c r="E23" s="26"/>
      <c r="F23" s="26"/>
      <c r="G23" s="26"/>
      <c r="H23" s="26"/>
    </row>
    <row r="24" spans="2:8" ht="3" customHeight="1">
      <c r="B24" s="227"/>
      <c r="C24" s="228"/>
      <c r="D24" s="229"/>
      <c r="E24" s="26"/>
      <c r="F24" s="26"/>
      <c r="G24" s="26"/>
      <c r="H24" s="26"/>
    </row>
    <row r="25" spans="2:8" ht="12.75" customHeight="1">
      <c r="B25" s="230" t="s">
        <v>63</v>
      </c>
      <c r="C25" s="231">
        <v>30</v>
      </c>
      <c r="D25" s="232">
        <f>C25*$G$5</f>
        <v>277.2</v>
      </c>
      <c r="E25" s="26"/>
      <c r="F25" s="26"/>
      <c r="G25" s="26"/>
      <c r="H25" s="26"/>
    </row>
    <row r="26" spans="2:8" ht="12.75" customHeight="1">
      <c r="B26" s="230" t="s">
        <v>64</v>
      </c>
      <c r="C26" s="231">
        <v>30</v>
      </c>
      <c r="D26" s="232">
        <f>C26*$G$5</f>
        <v>277.2</v>
      </c>
      <c r="E26" s="26"/>
      <c r="F26" s="26"/>
      <c r="G26" s="26"/>
      <c r="H26" s="26"/>
    </row>
    <row r="27" spans="2:8" ht="12.75" customHeight="1">
      <c r="B27" s="235" t="s">
        <v>72</v>
      </c>
      <c r="C27" s="231">
        <v>40</v>
      </c>
      <c r="D27" s="232">
        <f>C27*$G$5</f>
        <v>369.6</v>
      </c>
      <c r="E27" s="26"/>
      <c r="F27" s="26"/>
      <c r="G27" s="26"/>
      <c r="H27" s="26"/>
    </row>
    <row r="28" spans="2:8" ht="12.75" customHeight="1">
      <c r="B28" s="235" t="s">
        <v>73</v>
      </c>
      <c r="C28" s="231">
        <v>40</v>
      </c>
      <c r="D28" s="232">
        <f>C28*$G$5</f>
        <v>369.6</v>
      </c>
      <c r="E28" s="26"/>
      <c r="F28" s="26"/>
      <c r="G28" s="26"/>
      <c r="H28" s="26"/>
    </row>
    <row r="29" spans="2:8" ht="12.75" customHeight="1" thickBot="1">
      <c r="B29" s="237" t="s">
        <v>11</v>
      </c>
      <c r="C29" s="242">
        <f>SUM(C25:C28)</f>
        <v>140</v>
      </c>
      <c r="D29" s="239">
        <f>D25+D26+D27+D28</f>
        <v>1293.6</v>
      </c>
      <c r="E29" s="26"/>
      <c r="F29" s="26"/>
      <c r="G29" s="26"/>
      <c r="H29" s="26"/>
    </row>
    <row r="30" spans="2:8" ht="12.75" customHeight="1" thickBot="1">
      <c r="B30" s="240"/>
      <c r="C30" s="27"/>
      <c r="D30" s="241"/>
      <c r="E30" s="26"/>
      <c r="F30" s="26"/>
      <c r="G30" s="26"/>
      <c r="H30" s="26"/>
    </row>
    <row r="31" spans="2:8" ht="12.75" customHeight="1">
      <c r="B31" s="223" t="s">
        <v>77</v>
      </c>
      <c r="C31" s="224" t="s">
        <v>98</v>
      </c>
      <c r="D31" s="225" t="s">
        <v>98</v>
      </c>
      <c r="E31" s="26"/>
      <c r="F31" s="26"/>
      <c r="G31" s="26"/>
      <c r="H31" s="26"/>
    </row>
    <row r="32" spans="2:8" ht="3" customHeight="1">
      <c r="B32" s="227"/>
      <c r="C32" s="228"/>
      <c r="D32" s="229"/>
      <c r="E32" s="26"/>
      <c r="F32" s="26"/>
      <c r="G32" s="26"/>
      <c r="H32" s="26"/>
    </row>
    <row r="33" spans="2:8" ht="12.75" customHeight="1">
      <c r="B33" s="230" t="s">
        <v>63</v>
      </c>
      <c r="C33" s="231">
        <v>30</v>
      </c>
      <c r="D33" s="232">
        <f>C33*$G$5</f>
        <v>277.2</v>
      </c>
      <c r="E33" s="26"/>
      <c r="F33" s="26"/>
      <c r="G33" s="26"/>
      <c r="H33" s="26"/>
    </row>
    <row r="34" spans="2:8" ht="12.75" customHeight="1">
      <c r="B34" s="230" t="s">
        <v>64</v>
      </c>
      <c r="C34" s="231">
        <v>30</v>
      </c>
      <c r="D34" s="232">
        <f>C34*$G$5</f>
        <v>277.2</v>
      </c>
      <c r="E34" s="26"/>
      <c r="F34" s="26"/>
      <c r="G34" s="26"/>
      <c r="H34" s="26"/>
    </row>
    <row r="35" spans="2:8" ht="12.75" customHeight="1">
      <c r="B35" s="235" t="s">
        <v>72</v>
      </c>
      <c r="C35" s="231">
        <v>40</v>
      </c>
      <c r="D35" s="232">
        <f>C35*$G$5</f>
        <v>369.6</v>
      </c>
      <c r="E35" s="26"/>
      <c r="F35" s="26"/>
      <c r="G35" s="26"/>
      <c r="H35" s="26"/>
    </row>
    <row r="36" spans="2:8" ht="12.75" customHeight="1">
      <c r="B36" s="235" t="s">
        <v>73</v>
      </c>
      <c r="C36" s="231">
        <v>40</v>
      </c>
      <c r="D36" s="232">
        <f>C36*$G$5</f>
        <v>369.6</v>
      </c>
      <c r="E36" s="26"/>
      <c r="F36" s="26"/>
      <c r="G36" s="26"/>
      <c r="H36" s="26"/>
    </row>
    <row r="37" spans="2:8" ht="12.75" customHeight="1" thickBot="1">
      <c r="B37" s="237" t="s">
        <v>11</v>
      </c>
      <c r="C37" s="242">
        <f>SUM(C33:C36)</f>
        <v>140</v>
      </c>
      <c r="D37" s="239">
        <f>D33+D34+D35+D36</f>
        <v>1293.6</v>
      </c>
      <c r="E37" s="26"/>
      <c r="F37" s="26"/>
      <c r="G37" s="26"/>
      <c r="H37" s="26"/>
    </row>
    <row r="38" spans="2:8" ht="12.75" customHeight="1" thickBot="1">
      <c r="B38" s="240"/>
      <c r="C38" s="27"/>
      <c r="D38" s="241"/>
      <c r="E38" s="26"/>
      <c r="F38" s="26"/>
      <c r="G38" s="26"/>
      <c r="H38" s="26"/>
    </row>
    <row r="39" spans="2:8" ht="12.75" customHeight="1">
      <c r="B39" s="223" t="s">
        <v>223</v>
      </c>
      <c r="C39" s="224" t="s">
        <v>98</v>
      </c>
      <c r="D39" s="225" t="s">
        <v>98</v>
      </c>
      <c r="E39" s="26"/>
      <c r="F39" s="26"/>
      <c r="G39" s="26"/>
      <c r="H39" s="26"/>
    </row>
    <row r="40" spans="2:8" ht="3" customHeight="1">
      <c r="B40" s="227"/>
      <c r="C40" s="228"/>
      <c r="D40" s="229"/>
      <c r="E40" s="26"/>
      <c r="F40" s="26"/>
      <c r="G40" s="26"/>
      <c r="H40" s="26"/>
    </row>
    <row r="41" spans="2:8" ht="12.75" customHeight="1">
      <c r="B41" s="230" t="s">
        <v>63</v>
      </c>
      <c r="C41" s="231">
        <v>50</v>
      </c>
      <c r="D41" s="232">
        <f>C41*$G$5</f>
        <v>462</v>
      </c>
      <c r="E41" s="26"/>
      <c r="F41" s="26"/>
      <c r="G41" s="26"/>
      <c r="H41" s="26"/>
    </row>
    <row r="42" spans="2:8" ht="12.75" customHeight="1">
      <c r="B42" s="230" t="s">
        <v>64</v>
      </c>
      <c r="C42" s="231">
        <v>60</v>
      </c>
      <c r="D42" s="232">
        <f>C42*$G$5</f>
        <v>554.4</v>
      </c>
      <c r="E42" s="26"/>
      <c r="F42" s="26"/>
      <c r="G42" s="26"/>
      <c r="H42" s="26"/>
    </row>
    <row r="43" spans="2:8" ht="12.75" customHeight="1">
      <c r="B43" s="235" t="s">
        <v>72</v>
      </c>
      <c r="C43" s="231">
        <v>70</v>
      </c>
      <c r="D43" s="232">
        <f>C43*$G$5</f>
        <v>646.8000000000001</v>
      </c>
      <c r="E43" s="26"/>
      <c r="F43" s="26"/>
      <c r="G43" s="26"/>
      <c r="H43" s="26"/>
    </row>
    <row r="44" spans="2:8" ht="12.75" customHeight="1">
      <c r="B44" s="235" t="s">
        <v>73</v>
      </c>
      <c r="C44" s="231">
        <v>70</v>
      </c>
      <c r="D44" s="232">
        <f>C44*$G$5</f>
        <v>646.8000000000001</v>
      </c>
      <c r="E44" s="26"/>
      <c r="F44" s="26"/>
      <c r="G44" s="26"/>
      <c r="H44" s="26"/>
    </row>
    <row r="45" spans="2:8" ht="12.75" customHeight="1" thickBot="1">
      <c r="B45" s="237" t="s">
        <v>11</v>
      </c>
      <c r="C45" s="242">
        <f>SUM(C41:C44)</f>
        <v>250</v>
      </c>
      <c r="D45" s="239">
        <f>D41+D42+D43+D44</f>
        <v>2310</v>
      </c>
      <c r="E45" s="26"/>
      <c r="F45" s="26"/>
      <c r="G45" s="26"/>
      <c r="H45" s="26"/>
    </row>
    <row r="46" spans="2:8" ht="12.75" customHeight="1" thickBot="1">
      <c r="B46" s="240"/>
      <c r="C46" s="27"/>
      <c r="D46" s="241"/>
      <c r="E46" s="26"/>
      <c r="F46" s="26"/>
      <c r="G46" s="26"/>
      <c r="H46" s="26"/>
    </row>
    <row r="47" spans="2:8" ht="12.75" customHeight="1">
      <c r="B47" s="223" t="s">
        <v>302</v>
      </c>
      <c r="C47" s="224" t="s">
        <v>98</v>
      </c>
      <c r="D47" s="225" t="s">
        <v>98</v>
      </c>
      <c r="E47" s="26"/>
      <c r="F47" s="26"/>
      <c r="G47" s="26"/>
      <c r="H47" s="26"/>
    </row>
    <row r="48" spans="2:8" ht="3" customHeight="1">
      <c r="B48" s="227"/>
      <c r="C48" s="228"/>
      <c r="D48" s="229"/>
      <c r="E48" s="26"/>
      <c r="F48" s="26"/>
      <c r="G48" s="26"/>
      <c r="H48" s="26"/>
    </row>
    <row r="49" spans="2:8" ht="12.75" customHeight="1">
      <c r="B49" s="230" t="s">
        <v>63</v>
      </c>
      <c r="C49" s="231">
        <v>50</v>
      </c>
      <c r="D49" s="232">
        <f>C49*$G$5</f>
        <v>462</v>
      </c>
      <c r="E49" s="26"/>
      <c r="F49" s="26"/>
      <c r="G49" s="26"/>
      <c r="H49" s="26"/>
    </row>
    <row r="50" spans="2:8" ht="12.75" customHeight="1">
      <c r="B50" s="230" t="s">
        <v>64</v>
      </c>
      <c r="C50" s="231">
        <v>60</v>
      </c>
      <c r="D50" s="232">
        <f>C50*$G$5</f>
        <v>554.4</v>
      </c>
      <c r="E50" s="26"/>
      <c r="F50" s="26"/>
      <c r="G50" s="26"/>
      <c r="H50" s="26"/>
    </row>
    <row r="51" spans="2:8" ht="12.75" customHeight="1">
      <c r="B51" s="235" t="s">
        <v>72</v>
      </c>
      <c r="C51" s="231">
        <v>70</v>
      </c>
      <c r="D51" s="232">
        <f>C51*$G$5</f>
        <v>646.8000000000001</v>
      </c>
      <c r="E51" s="26"/>
      <c r="F51" s="26"/>
      <c r="G51" s="26"/>
      <c r="H51" s="26"/>
    </row>
    <row r="52" spans="2:8" ht="12.75" customHeight="1">
      <c r="B52" s="235" t="s">
        <v>73</v>
      </c>
      <c r="C52" s="231">
        <v>70</v>
      </c>
      <c r="D52" s="232">
        <f>C52*$G$5</f>
        <v>646.8000000000001</v>
      </c>
      <c r="E52" s="26"/>
      <c r="F52" s="26"/>
      <c r="G52" s="26"/>
      <c r="H52" s="26"/>
    </row>
    <row r="53" spans="2:8" ht="12.75" customHeight="1" thickBot="1">
      <c r="B53" s="237" t="s">
        <v>11</v>
      </c>
      <c r="C53" s="242">
        <f>SUM(C49:C52)</f>
        <v>250</v>
      </c>
      <c r="D53" s="239">
        <f>D49+D50+D51+D52</f>
        <v>2310</v>
      </c>
      <c r="E53" s="26"/>
      <c r="F53" s="26"/>
      <c r="G53" s="26"/>
      <c r="H53" s="26"/>
    </row>
    <row r="54" spans="2:8" ht="12.75" customHeight="1" thickBot="1">
      <c r="B54" s="240"/>
      <c r="C54" s="27"/>
      <c r="D54" s="241"/>
      <c r="E54" s="26"/>
      <c r="F54" s="26"/>
      <c r="G54" s="26"/>
      <c r="H54" s="26"/>
    </row>
    <row r="55" spans="2:8" ht="12.75" customHeight="1">
      <c r="B55" s="223" t="s">
        <v>303</v>
      </c>
      <c r="C55" s="224" t="s">
        <v>98</v>
      </c>
      <c r="D55" s="225" t="s">
        <v>98</v>
      </c>
      <c r="E55" s="26"/>
      <c r="F55" s="26"/>
      <c r="G55" s="26"/>
      <c r="H55" s="26"/>
    </row>
    <row r="56" spans="2:8" ht="3" customHeight="1">
      <c r="B56" s="227"/>
      <c r="C56" s="228"/>
      <c r="D56" s="229"/>
      <c r="E56" s="26"/>
      <c r="F56" s="26"/>
      <c r="G56" s="26"/>
      <c r="H56" s="26"/>
    </row>
    <row r="57" spans="2:8" ht="12.75" customHeight="1">
      <c r="B57" s="230" t="s">
        <v>63</v>
      </c>
      <c r="C57" s="231">
        <v>0</v>
      </c>
      <c r="D57" s="232">
        <f>C57*$G$5</f>
        <v>0</v>
      </c>
      <c r="E57" s="26"/>
      <c r="F57" s="26"/>
      <c r="G57" s="26"/>
      <c r="H57" s="26"/>
    </row>
    <row r="58" spans="2:8" ht="12.75" customHeight="1">
      <c r="B58" s="230" t="s">
        <v>64</v>
      </c>
      <c r="C58" s="231">
        <v>0</v>
      </c>
      <c r="D58" s="232">
        <f>C58*$G$5</f>
        <v>0</v>
      </c>
      <c r="E58" s="26"/>
      <c r="F58" s="26"/>
      <c r="G58" s="26"/>
      <c r="H58" s="26"/>
    </row>
    <row r="59" spans="2:8" ht="12.75" customHeight="1">
      <c r="B59" s="235" t="s">
        <v>72</v>
      </c>
      <c r="C59" s="231">
        <v>0</v>
      </c>
      <c r="D59" s="232">
        <f>C59*$G$5</f>
        <v>0</v>
      </c>
      <c r="E59" s="26"/>
      <c r="F59" s="26"/>
      <c r="G59" s="26"/>
      <c r="H59" s="26"/>
    </row>
    <row r="60" spans="2:8" ht="12.75" customHeight="1">
      <c r="B60" s="235" t="s">
        <v>73</v>
      </c>
      <c r="C60" s="231">
        <v>0</v>
      </c>
      <c r="D60" s="232">
        <f>C60*$G$5</f>
        <v>0</v>
      </c>
      <c r="E60" s="26"/>
      <c r="F60" s="26"/>
      <c r="G60" s="26"/>
      <c r="H60" s="26"/>
    </row>
    <row r="61" spans="2:8" ht="15" thickBot="1">
      <c r="B61" s="237" t="s">
        <v>11</v>
      </c>
      <c r="C61" s="242">
        <f>SUM(C57:C60)</f>
        <v>0</v>
      </c>
      <c r="D61" s="239">
        <f>D57+D58+D59+D60</f>
        <v>0</v>
      </c>
      <c r="E61" s="26"/>
      <c r="F61" s="26"/>
      <c r="G61" s="26"/>
      <c r="H61" s="26"/>
    </row>
  </sheetData>
  <printOptions/>
  <pageMargins left="0.35629921259842523" right="0.35629921259842523" top="0.59" bottom="0.59" header="0.51" footer="0.51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L31"/>
  <sheetViews>
    <sheetView showGridLines="0" zoomScale="150" zoomScaleNormal="150" workbookViewId="0" topLeftCell="A1">
      <selection activeCell="H42" sqref="H42"/>
    </sheetView>
  </sheetViews>
  <sheetFormatPr defaultColWidth="11.00390625" defaultRowHeight="12.75"/>
  <cols>
    <col min="1" max="1" width="2.125" style="144" customWidth="1"/>
    <col min="2" max="2" width="0.875" style="144" customWidth="1"/>
    <col min="3" max="3" width="39.125" style="144" customWidth="1"/>
    <col min="4" max="4" width="13.625" style="144" customWidth="1"/>
    <col min="5" max="11" width="5.00390625" style="144" customWidth="1"/>
    <col min="12" max="12" width="1.00390625" style="144" customWidth="1"/>
    <col min="13" max="16384" width="11.00390625" style="144" customWidth="1"/>
  </cols>
  <sheetData>
    <row r="1" ht="12.75"/>
    <row r="2" spans="2:3" ht="18">
      <c r="B2" s="1"/>
      <c r="C2" s="82" t="s">
        <v>49</v>
      </c>
    </row>
    <row r="3" ht="12.75">
      <c r="C3" s="32"/>
    </row>
    <row r="4" spans="3:4" ht="12.75">
      <c r="C4" s="161" t="s">
        <v>516</v>
      </c>
      <c r="D4" s="259">
        <v>26</v>
      </c>
    </row>
    <row r="5" spans="3:4" ht="12.75">
      <c r="C5" s="94" t="s">
        <v>294</v>
      </c>
      <c r="D5" s="258">
        <f>D27*0.8197*D4/100/D11*12/52</f>
        <v>154.62237902222222</v>
      </c>
    </row>
    <row r="6" spans="3:4" ht="12.75">
      <c r="C6" s="84"/>
      <c r="D6" s="250" t="s">
        <v>98</v>
      </c>
    </row>
    <row r="7" ht="16.5" thickBot="1">
      <c r="C7" s="60" t="s">
        <v>117</v>
      </c>
    </row>
    <row r="8" spans="2:12" ht="4.5" customHeight="1">
      <c r="B8" s="162"/>
      <c r="C8" s="119" t="s">
        <v>98</v>
      </c>
      <c r="D8" s="119" t="s">
        <v>98</v>
      </c>
      <c r="E8" s="163"/>
      <c r="F8" s="163"/>
      <c r="G8" s="163"/>
      <c r="H8" s="163"/>
      <c r="I8" s="163"/>
      <c r="J8" s="163"/>
      <c r="K8" s="163"/>
      <c r="L8" s="164"/>
    </row>
    <row r="9" spans="2:12" ht="12">
      <c r="B9" s="165"/>
      <c r="C9" s="243" t="s">
        <v>308</v>
      </c>
      <c r="D9" s="248">
        <v>9</v>
      </c>
      <c r="E9"/>
      <c r="F9"/>
      <c r="G9"/>
      <c r="H9"/>
      <c r="I9"/>
      <c r="J9"/>
      <c r="K9"/>
      <c r="L9" s="168"/>
    </row>
    <row r="10" spans="2:12" ht="12">
      <c r="B10" s="165"/>
      <c r="C10" s="161" t="s">
        <v>103</v>
      </c>
      <c r="D10" s="249">
        <v>50</v>
      </c>
      <c r="E10"/>
      <c r="F10"/>
      <c r="G10"/>
      <c r="H10"/>
      <c r="I10"/>
      <c r="J10"/>
      <c r="K10"/>
      <c r="L10" s="168"/>
    </row>
    <row r="11" spans="2:12" ht="12">
      <c r="B11" s="165"/>
      <c r="C11" s="176" t="s">
        <v>289</v>
      </c>
      <c r="D11" s="247">
        <f>D9*(1+(D10/100))</f>
        <v>13.5</v>
      </c>
      <c r="E11"/>
      <c r="F11"/>
      <c r="G11"/>
      <c r="H11"/>
      <c r="I11"/>
      <c r="J11"/>
      <c r="K11"/>
      <c r="L11" s="168"/>
    </row>
    <row r="12" spans="2:12" ht="12">
      <c r="B12" s="165"/>
      <c r="C12" s="166" t="s">
        <v>98</v>
      </c>
      <c r="D12"/>
      <c r="E12"/>
      <c r="F12"/>
      <c r="G12"/>
      <c r="H12"/>
      <c r="I12"/>
      <c r="J12"/>
      <c r="K12"/>
      <c r="L12" s="168"/>
    </row>
    <row r="13" spans="2:12" ht="12">
      <c r="B13" s="165"/>
      <c r="C13" s="166"/>
      <c r="D13" s="159"/>
      <c r="E13" s="167" t="s">
        <v>216</v>
      </c>
      <c r="F13" s="167" t="s">
        <v>217</v>
      </c>
      <c r="G13" s="167" t="s">
        <v>218</v>
      </c>
      <c r="H13" s="167" t="s">
        <v>219</v>
      </c>
      <c r="I13" s="167" t="s">
        <v>220</v>
      </c>
      <c r="J13" s="167" t="s">
        <v>221</v>
      </c>
      <c r="K13" s="167" t="s">
        <v>222</v>
      </c>
      <c r="L13" s="168"/>
    </row>
    <row r="14" spans="2:12" ht="12">
      <c r="B14" s="165"/>
      <c r="C14" s="166"/>
      <c r="D14" s="169" t="s">
        <v>104</v>
      </c>
      <c r="E14" s="170">
        <v>10</v>
      </c>
      <c r="F14" s="170">
        <v>15</v>
      </c>
      <c r="G14" s="170">
        <v>10</v>
      </c>
      <c r="H14" s="170">
        <v>10</v>
      </c>
      <c r="I14" s="170">
        <v>10</v>
      </c>
      <c r="J14" s="170">
        <v>15</v>
      </c>
      <c r="K14" s="170">
        <v>0</v>
      </c>
      <c r="L14" s="168"/>
    </row>
    <row r="15" spans="2:12" ht="12">
      <c r="B15" s="165"/>
      <c r="C15" s="166"/>
      <c r="D15" s="169" t="s">
        <v>105</v>
      </c>
      <c r="E15" s="170">
        <v>10</v>
      </c>
      <c r="F15" s="170">
        <v>10</v>
      </c>
      <c r="G15" s="170">
        <v>8</v>
      </c>
      <c r="H15" s="170">
        <v>8</v>
      </c>
      <c r="I15" s="170">
        <v>10</v>
      </c>
      <c r="J15" s="170">
        <v>15</v>
      </c>
      <c r="K15" s="170">
        <v>0</v>
      </c>
      <c r="L15" s="168"/>
    </row>
    <row r="16" spans="2:12" ht="12">
      <c r="B16" s="165"/>
      <c r="C16" s="166"/>
      <c r="D16" s="169" t="s">
        <v>99</v>
      </c>
      <c r="E16" s="170">
        <v>0</v>
      </c>
      <c r="F16" s="170">
        <v>0</v>
      </c>
      <c r="G16" s="170">
        <v>7.5</v>
      </c>
      <c r="H16" s="170">
        <v>7.5</v>
      </c>
      <c r="I16" s="170">
        <v>7.5</v>
      </c>
      <c r="J16" s="170">
        <v>7.5</v>
      </c>
      <c r="K16" s="170">
        <v>0</v>
      </c>
      <c r="L16" s="168"/>
    </row>
    <row r="17" spans="2:12" ht="12">
      <c r="B17" s="165"/>
      <c r="C17" s="166"/>
      <c r="D17" s="159"/>
      <c r="E17" s="52">
        <f aca="true" t="shared" si="0" ref="E17:K17">E14+E15+E16</f>
        <v>20</v>
      </c>
      <c r="F17" s="52">
        <f t="shared" si="0"/>
        <v>25</v>
      </c>
      <c r="G17" s="52">
        <f t="shared" si="0"/>
        <v>25.5</v>
      </c>
      <c r="H17" s="52">
        <f t="shared" si="0"/>
        <v>25.5</v>
      </c>
      <c r="I17" s="52">
        <f t="shared" si="0"/>
        <v>27.5</v>
      </c>
      <c r="J17" s="52">
        <f t="shared" si="0"/>
        <v>37.5</v>
      </c>
      <c r="K17" s="52">
        <f t="shared" si="0"/>
        <v>0</v>
      </c>
      <c r="L17" s="168"/>
    </row>
    <row r="18" spans="2:12" ht="12">
      <c r="B18" s="165"/>
      <c r="C18" s="166"/>
      <c r="D18" s="159"/>
      <c r="E18" s="167"/>
      <c r="F18" s="167"/>
      <c r="G18" s="167"/>
      <c r="H18" s="167"/>
      <c r="I18" s="167"/>
      <c r="J18" s="167"/>
      <c r="K18" s="167"/>
      <c r="L18" s="168"/>
    </row>
    <row r="19" spans="2:12" ht="12">
      <c r="B19" s="165"/>
      <c r="C19" s="255" t="s">
        <v>98</v>
      </c>
      <c r="D19" s="167"/>
      <c r="E19" s="159"/>
      <c r="F19" s="159"/>
      <c r="G19" s="159"/>
      <c r="H19" s="159"/>
      <c r="I19" s="159"/>
      <c r="J19" s="159"/>
      <c r="K19" s="159"/>
      <c r="L19" s="168"/>
    </row>
    <row r="20" spans="2:12" ht="12">
      <c r="B20" s="165"/>
      <c r="C20" s="172" t="s">
        <v>110</v>
      </c>
      <c r="D20" s="244">
        <f>E17+F17+G17+H17+I17+J17+(2*K17)</f>
        <v>161</v>
      </c>
      <c r="E20" s="159"/>
      <c r="F20" s="159"/>
      <c r="G20" s="159"/>
      <c r="H20" s="159"/>
      <c r="I20" s="159"/>
      <c r="J20" s="159"/>
      <c r="K20" s="159"/>
      <c r="L20" s="168"/>
    </row>
    <row r="21" spans="2:12" ht="12">
      <c r="B21" s="171"/>
      <c r="C21" s="176" t="s">
        <v>109</v>
      </c>
      <c r="D21" s="254">
        <f>D20*52/12</f>
        <v>697.6666666666666</v>
      </c>
      <c r="E21" s="159"/>
      <c r="F21" s="159"/>
      <c r="G21" s="159"/>
      <c r="H21" s="159"/>
      <c r="I21" s="159"/>
      <c r="J21" s="159"/>
      <c r="K21" s="159"/>
      <c r="L21" s="168"/>
    </row>
    <row r="22" spans="2:12" ht="12">
      <c r="B22" s="171"/>
      <c r="C22" s="176" t="s">
        <v>293</v>
      </c>
      <c r="D22" s="245">
        <f>D21/157.5</f>
        <v>4.42962962962963</v>
      </c>
      <c r="E22" s="159"/>
      <c r="F22" s="159"/>
      <c r="G22" s="159"/>
      <c r="H22" s="159"/>
      <c r="I22" s="159"/>
      <c r="J22" s="159"/>
      <c r="K22" s="159"/>
      <c r="L22" s="168"/>
    </row>
    <row r="23" spans="2:12" ht="12">
      <c r="B23" s="171"/>
      <c r="C23" s="176" t="s">
        <v>108</v>
      </c>
      <c r="D23" s="246">
        <f>D21*D11</f>
        <v>9418.5</v>
      </c>
      <c r="E23" s="159"/>
      <c r="F23" s="159"/>
      <c r="G23" s="159"/>
      <c r="H23" s="159"/>
      <c r="I23" s="159"/>
      <c r="J23" s="159"/>
      <c r="K23" s="159"/>
      <c r="L23" s="168"/>
    </row>
    <row r="24" spans="2:12" ht="12">
      <c r="B24" s="171"/>
      <c r="C24" s="176" t="s">
        <v>107</v>
      </c>
      <c r="D24" s="246">
        <f>D23/D4*100</f>
        <v>36225</v>
      </c>
      <c r="E24" s="159"/>
      <c r="F24" s="257" t="s">
        <v>98</v>
      </c>
      <c r="G24" s="159"/>
      <c r="H24" s="159"/>
      <c r="I24" s="159"/>
      <c r="J24" s="159"/>
      <c r="K24" s="159"/>
      <c r="L24" s="168"/>
    </row>
    <row r="25" spans="2:12" ht="12">
      <c r="B25" s="171"/>
      <c r="C25" s="176" t="s">
        <v>106</v>
      </c>
      <c r="D25" s="252">
        <f>D24*1.22</f>
        <v>44194.5</v>
      </c>
      <c r="E25" s="159"/>
      <c r="F25" s="159" t="s">
        <v>98</v>
      </c>
      <c r="G25" s="159"/>
      <c r="H25" s="159"/>
      <c r="I25" s="159"/>
      <c r="J25" s="159"/>
      <c r="K25" s="159"/>
      <c r="L25" s="168"/>
    </row>
    <row r="26" spans="2:12" ht="6" customHeight="1">
      <c r="B26" s="165"/>
      <c r="C26" s="175"/>
      <c r="D26" s="251"/>
      <c r="E26" s="159"/>
      <c r="F26" s="159"/>
      <c r="G26" s="159"/>
      <c r="H26" s="159"/>
      <c r="I26" s="159"/>
      <c r="J26" s="159"/>
      <c r="K26" s="159"/>
      <c r="L26" s="168"/>
    </row>
    <row r="27" spans="2:12" ht="12">
      <c r="B27" s="165"/>
      <c r="C27" s="161" t="s">
        <v>125</v>
      </c>
      <c r="D27" s="253">
        <f>myennuste!H10</f>
        <v>42442.4</v>
      </c>
      <c r="E27" s="175" t="s">
        <v>98</v>
      </c>
      <c r="F27" s="184" t="s">
        <v>98</v>
      </c>
      <c r="G27" s="159" t="s">
        <v>98</v>
      </c>
      <c r="H27" s="159"/>
      <c r="I27" s="159"/>
      <c r="J27" s="159"/>
      <c r="K27" s="159"/>
      <c r="L27" s="168"/>
    </row>
    <row r="28" spans="2:12" ht="12">
      <c r="B28" s="165"/>
      <c r="C28" s="175"/>
      <c r="D28" s="256"/>
      <c r="E28" s="159"/>
      <c r="F28" s="159"/>
      <c r="G28" s="159"/>
      <c r="H28" s="159"/>
      <c r="I28" s="159"/>
      <c r="J28" s="159"/>
      <c r="K28" s="159"/>
      <c r="L28" s="168"/>
    </row>
    <row r="29" spans="2:12" ht="12">
      <c r="B29" s="165"/>
      <c r="C29" s="161" t="s">
        <v>196</v>
      </c>
      <c r="D29" s="361">
        <f>(D27/D25*100)-100</f>
        <v>-3.9645204720044234</v>
      </c>
      <c r="E29" s="199" t="s">
        <v>38</v>
      </c>
      <c r="F29" s="159"/>
      <c r="G29" s="159"/>
      <c r="H29" s="159"/>
      <c r="I29" s="159"/>
      <c r="J29" s="159"/>
      <c r="K29" s="159"/>
      <c r="L29" s="168"/>
    </row>
    <row r="30" spans="2:12" ht="4.5" customHeight="1" thickBot="1">
      <c r="B30" s="177"/>
      <c r="C30" s="153"/>
      <c r="D30" s="153"/>
      <c r="E30" s="153"/>
      <c r="F30" s="153"/>
      <c r="G30" s="153"/>
      <c r="H30" s="153"/>
      <c r="I30" s="153"/>
      <c r="J30" s="153"/>
      <c r="K30" s="153"/>
      <c r="L30" s="178"/>
    </row>
    <row r="31" spans="2:12" ht="12"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</sheetData>
  <conditionalFormatting sqref="D25">
    <cfRule type="cellIs" priority="1" dxfId="2" operator="lessThan" stopIfTrue="1">
      <formula>$D$5/2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="150" zoomScaleNormal="150" workbookViewId="0" topLeftCell="A1">
      <selection activeCell="C31" sqref="C31"/>
    </sheetView>
  </sheetViews>
  <sheetFormatPr defaultColWidth="11.625" defaultRowHeight="12.75"/>
  <cols>
    <col min="1" max="1" width="5.875" style="7" customWidth="1"/>
    <col min="2" max="2" width="26.00390625" style="7" customWidth="1"/>
    <col min="3" max="3" width="10.125" style="7" customWidth="1"/>
    <col min="4" max="4" width="6.00390625" style="7" customWidth="1"/>
    <col min="5" max="5" width="1.37890625" style="7" customWidth="1"/>
    <col min="6" max="6" width="10.00390625" style="7" customWidth="1"/>
    <col min="7" max="7" width="6.00390625" style="7" customWidth="1"/>
    <col min="8" max="8" width="3.875" style="7" customWidth="1"/>
    <col min="9" max="16384" width="11.625" style="7" customWidth="1"/>
  </cols>
  <sheetData>
    <row r="1" ht="16.5">
      <c r="B1" s="73" t="s">
        <v>50</v>
      </c>
    </row>
    <row r="2" ht="12">
      <c r="B2" s="54"/>
    </row>
    <row r="3" ht="12">
      <c r="B3" s="54"/>
    </row>
    <row r="4" spans="2:7" ht="12">
      <c r="B4" s="364" t="s">
        <v>12</v>
      </c>
      <c r="C4" s="363"/>
      <c r="D4" s="363"/>
      <c r="E4" s="363"/>
      <c r="F4" s="363"/>
      <c r="G4" s="363"/>
    </row>
    <row r="5" ht="10.5" thickBot="1">
      <c r="E5" s="8"/>
    </row>
    <row r="6" spans="2:7" ht="12.75" thickBot="1">
      <c r="B6" s="144"/>
      <c r="C6" s="61" t="s">
        <v>111</v>
      </c>
      <c r="D6" s="77"/>
      <c r="E6" s="78"/>
      <c r="F6" s="76" t="s">
        <v>37</v>
      </c>
      <c r="G6" s="179"/>
    </row>
    <row r="7" spans="1:7" ht="12.75" thickTop="1">
      <c r="A7" s="8"/>
      <c r="B7" s="173"/>
      <c r="C7" s="70" t="s">
        <v>248</v>
      </c>
      <c r="D7" s="75" t="s">
        <v>38</v>
      </c>
      <c r="E7" s="52"/>
      <c r="F7" s="180" t="s">
        <v>248</v>
      </c>
      <c r="G7" s="62" t="s">
        <v>38</v>
      </c>
    </row>
    <row r="8" spans="1:7" ht="12">
      <c r="A8" s="8"/>
      <c r="B8" s="74" t="s">
        <v>39</v>
      </c>
      <c r="C8" s="181">
        <f>myennuste!H10</f>
        <v>42442.4</v>
      </c>
      <c r="D8" s="182"/>
      <c r="E8" s="167"/>
      <c r="F8" s="64">
        <f>C8*12</f>
        <v>509308.80000000005</v>
      </c>
      <c r="G8" s="65"/>
    </row>
    <row r="9" spans="1:7" ht="12">
      <c r="A9" s="8"/>
      <c r="B9" s="174" t="s">
        <v>40</v>
      </c>
      <c r="C9" s="181">
        <f>C8-(C8/(1+D9/100))</f>
        <v>7653.547540983607</v>
      </c>
      <c r="D9" s="182">
        <v>22</v>
      </c>
      <c r="E9" s="167"/>
      <c r="F9" s="64">
        <f>C9*12</f>
        <v>91842.57049180329</v>
      </c>
      <c r="G9" s="65">
        <v>22</v>
      </c>
    </row>
    <row r="10" spans="1:7" ht="12">
      <c r="A10" s="8"/>
      <c r="B10" s="174"/>
      <c r="C10" s="181"/>
      <c r="D10" s="182"/>
      <c r="E10" s="167"/>
      <c r="F10" s="64" t="s">
        <v>98</v>
      </c>
      <c r="G10" s="65"/>
    </row>
    <row r="11" spans="1:7" ht="12">
      <c r="A11" s="8"/>
      <c r="B11" s="74" t="s">
        <v>247</v>
      </c>
      <c r="C11" s="181">
        <f>C8-C9</f>
        <v>34788.852459016394</v>
      </c>
      <c r="D11" s="182">
        <v>100</v>
      </c>
      <c r="E11" s="167"/>
      <c r="F11" s="64">
        <f aca="true" t="shared" si="0" ref="F11:F24">C11*12</f>
        <v>417466.2295081967</v>
      </c>
      <c r="G11" s="65">
        <v>100</v>
      </c>
    </row>
    <row r="12" spans="1:7" ht="12">
      <c r="A12" s="8"/>
      <c r="B12" s="174"/>
      <c r="C12" s="181"/>
      <c r="D12" s="182"/>
      <c r="E12" s="167"/>
      <c r="F12" s="64" t="s">
        <v>98</v>
      </c>
      <c r="G12" s="65"/>
    </row>
    <row r="13" spans="1:7" ht="12">
      <c r="A13" s="8"/>
      <c r="B13" s="174" t="s">
        <v>311</v>
      </c>
      <c r="C13" s="181">
        <f>C11-C15</f>
        <v>11810.815409836068</v>
      </c>
      <c r="D13" s="183">
        <f>D11-D15</f>
        <v>33.95</v>
      </c>
      <c r="E13" s="184"/>
      <c r="F13" s="64">
        <f t="shared" si="0"/>
        <v>141729.78491803282</v>
      </c>
      <c r="G13" s="66">
        <f>F13/F11*100</f>
        <v>33.95000000000001</v>
      </c>
    </row>
    <row r="14" spans="1:7" ht="12">
      <c r="A14" s="8"/>
      <c r="B14" s="174"/>
      <c r="C14" s="181"/>
      <c r="D14" s="183" t="s">
        <v>98</v>
      </c>
      <c r="E14" s="184"/>
      <c r="F14" s="64" t="s">
        <v>98</v>
      </c>
      <c r="G14" s="66" t="s">
        <v>98</v>
      </c>
    </row>
    <row r="15" spans="1:7" ht="12">
      <c r="A15" s="8"/>
      <c r="B15" s="74" t="s">
        <v>45</v>
      </c>
      <c r="C15" s="185">
        <f>D15*C11/100</f>
        <v>22978.037049180326</v>
      </c>
      <c r="D15" s="186">
        <f>'ostos&amp;hinnat'!G47</f>
        <v>66.05</v>
      </c>
      <c r="E15" s="187"/>
      <c r="F15" s="67">
        <f t="shared" si="0"/>
        <v>275736.4445901639</v>
      </c>
      <c r="G15" s="68">
        <f>F15/F11*100</f>
        <v>66.04999999999998</v>
      </c>
    </row>
    <row r="16" spans="1:7" ht="12">
      <c r="A16" s="8"/>
      <c r="B16" s="174"/>
      <c r="C16" s="181"/>
      <c r="D16" s="183" t="s">
        <v>98</v>
      </c>
      <c r="E16" s="184"/>
      <c r="F16" s="64" t="s">
        <v>98</v>
      </c>
      <c r="G16" s="66" t="s">
        <v>98</v>
      </c>
    </row>
    <row r="17" spans="1:7" ht="12">
      <c r="A17" s="8"/>
      <c r="B17" s="174" t="s">
        <v>282</v>
      </c>
      <c r="C17" s="181">
        <f>tunnit!$D$23</f>
        <v>9418.5</v>
      </c>
      <c r="D17" s="183">
        <f>C17/C11*100</f>
        <v>27.073327615780446</v>
      </c>
      <c r="E17" s="184"/>
      <c r="F17" s="64">
        <f t="shared" si="0"/>
        <v>113022</v>
      </c>
      <c r="G17" s="66">
        <f>F17/F11*100</f>
        <v>27.073327615780446</v>
      </c>
    </row>
    <row r="18" spans="1:7" ht="12">
      <c r="A18" s="8"/>
      <c r="B18" s="174"/>
      <c r="C18" s="181"/>
      <c r="D18" s="183" t="s">
        <v>98</v>
      </c>
      <c r="E18" s="184"/>
      <c r="F18" s="64" t="s">
        <v>98</v>
      </c>
      <c r="G18" s="66" t="s">
        <v>98</v>
      </c>
    </row>
    <row r="19" spans="1:7" ht="12">
      <c r="A19" s="8"/>
      <c r="B19" s="74" t="s">
        <v>46</v>
      </c>
      <c r="C19" s="185">
        <f>C15-C17</f>
        <v>13559.537049180326</v>
      </c>
      <c r="D19" s="186">
        <f>C19/C11*100</f>
        <v>38.97667238421955</v>
      </c>
      <c r="E19" s="187"/>
      <c r="F19" s="67">
        <f t="shared" si="0"/>
        <v>162714.4445901639</v>
      </c>
      <c r="G19" s="68">
        <f>F19/F11*100</f>
        <v>38.976672384219555</v>
      </c>
    </row>
    <row r="20" spans="1:7" ht="12">
      <c r="A20" s="8"/>
      <c r="B20" s="174"/>
      <c r="C20" s="181"/>
      <c r="D20" s="183" t="s">
        <v>98</v>
      </c>
      <c r="E20" s="184"/>
      <c r="F20" s="64" t="s">
        <v>98</v>
      </c>
      <c r="G20" s="66" t="s">
        <v>98</v>
      </c>
    </row>
    <row r="21" spans="1:7" ht="12">
      <c r="A21" s="8"/>
      <c r="B21" s="174" t="s">
        <v>309</v>
      </c>
      <c r="C21" s="181">
        <f>D21*C11/100</f>
        <v>3931.1403278688526</v>
      </c>
      <c r="D21" s="183">
        <f>'Alan lukuja'!D44</f>
        <v>11.3</v>
      </c>
      <c r="E21" s="184"/>
      <c r="F21" s="64">
        <f t="shared" si="0"/>
        <v>47173.68393442623</v>
      </c>
      <c r="G21" s="66">
        <f>F21/F11*100</f>
        <v>11.300000000000002</v>
      </c>
    </row>
    <row r="22" spans="1:7" ht="12">
      <c r="A22" s="8"/>
      <c r="B22" s="174" t="s">
        <v>310</v>
      </c>
      <c r="C22" s="181">
        <f>D22*C11/100</f>
        <v>5983.68262295082</v>
      </c>
      <c r="D22" s="183">
        <f>'Alan lukuja'!D45</f>
        <v>17.2</v>
      </c>
      <c r="E22" s="184"/>
      <c r="F22" s="64">
        <f t="shared" si="0"/>
        <v>71804.19147540984</v>
      </c>
      <c r="G22" s="66">
        <f>F22/F11*100</f>
        <v>17.200000000000003</v>
      </c>
    </row>
    <row r="23" spans="1:7" ht="12">
      <c r="A23" s="8"/>
      <c r="B23" s="174"/>
      <c r="C23" s="181"/>
      <c r="D23" s="183" t="s">
        <v>98</v>
      </c>
      <c r="E23" s="184"/>
      <c r="F23" s="64" t="s">
        <v>98</v>
      </c>
      <c r="G23" s="66" t="s">
        <v>98</v>
      </c>
    </row>
    <row r="24" spans="1:7" ht="12.75" thickBot="1">
      <c r="A24" s="8"/>
      <c r="B24" s="74" t="s">
        <v>47</v>
      </c>
      <c r="C24" s="188">
        <f>C19-(C21+C22)</f>
        <v>3644.714098360653</v>
      </c>
      <c r="D24" s="189">
        <f>C24/C11*100</f>
        <v>10.476672384219547</v>
      </c>
      <c r="E24" s="187"/>
      <c r="F24" s="71">
        <f t="shared" si="0"/>
        <v>43736.56918032784</v>
      </c>
      <c r="G24" s="72">
        <f>F24/F11*100</f>
        <v>10.476672384219547</v>
      </c>
    </row>
    <row r="25" spans="1:5" ht="9.75">
      <c r="A25" s="8"/>
      <c r="E25" s="8"/>
    </row>
    <row r="26" spans="1:5" ht="9.75">
      <c r="A26" s="8"/>
      <c r="B26" s="7" t="s">
        <v>98</v>
      </c>
      <c r="E26" s="8"/>
    </row>
    <row r="27" spans="1:7" ht="12">
      <c r="A27" s="8"/>
      <c r="B27" s="362" t="s">
        <v>127</v>
      </c>
      <c r="C27" s="363"/>
      <c r="D27" s="363"/>
      <c r="E27" s="363"/>
      <c r="F27" s="363"/>
      <c r="G27" s="363"/>
    </row>
    <row r="28" spans="1:5" ht="10.5" thickBot="1">
      <c r="A28" s="8"/>
      <c r="E28" s="8"/>
    </row>
    <row r="29" spans="1:7" ht="12.75" thickBot="1">
      <c r="A29" s="8"/>
      <c r="B29" s="144"/>
      <c r="C29" s="61" t="s">
        <v>111</v>
      </c>
      <c r="D29" s="77"/>
      <c r="E29" s="78"/>
      <c r="F29" s="61" t="s">
        <v>37</v>
      </c>
      <c r="G29" s="179"/>
    </row>
    <row r="30" spans="1:7" ht="12.75" thickTop="1">
      <c r="A30" s="8"/>
      <c r="B30" s="173"/>
      <c r="C30" s="70" t="s">
        <v>248</v>
      </c>
      <c r="D30" s="75" t="s">
        <v>38</v>
      </c>
      <c r="E30" s="52"/>
      <c r="F30" s="180" t="s">
        <v>248</v>
      </c>
      <c r="G30" s="62" t="s">
        <v>38</v>
      </c>
    </row>
    <row r="31" spans="1:7" ht="12">
      <c r="A31" s="8"/>
      <c r="B31" s="74" t="s">
        <v>39</v>
      </c>
      <c r="C31" s="190">
        <f>C8</f>
        <v>42442.4</v>
      </c>
      <c r="D31" s="182"/>
      <c r="E31" s="167"/>
      <c r="F31" s="64">
        <f>C31*12</f>
        <v>509308.80000000005</v>
      </c>
      <c r="G31" s="65"/>
    </row>
    <row r="32" spans="1:7" ht="12">
      <c r="A32" s="8"/>
      <c r="B32" s="174" t="s">
        <v>40</v>
      </c>
      <c r="C32" s="181">
        <f>C31-C34</f>
        <v>7653.547540983607</v>
      </c>
      <c r="D32" s="191">
        <f>D9</f>
        <v>22</v>
      </c>
      <c r="E32" s="167"/>
      <c r="F32" s="64">
        <f>C32*12</f>
        <v>91842.57049180329</v>
      </c>
      <c r="G32" s="65">
        <v>22</v>
      </c>
    </row>
    <row r="33" spans="1:7" ht="12">
      <c r="A33" s="8"/>
      <c r="B33" s="174"/>
      <c r="C33" s="181"/>
      <c r="D33" s="182"/>
      <c r="E33" s="167"/>
      <c r="F33" s="64" t="s">
        <v>98</v>
      </c>
      <c r="G33" s="65"/>
    </row>
    <row r="34" spans="1:7" ht="12">
      <c r="A34" s="8"/>
      <c r="B34" s="74" t="s">
        <v>247</v>
      </c>
      <c r="C34" s="185">
        <f>C31/((100+D32)/100)</f>
        <v>34788.852459016394</v>
      </c>
      <c r="D34" s="192">
        <v>100</v>
      </c>
      <c r="E34" s="52"/>
      <c r="F34" s="67">
        <f>C34*12</f>
        <v>417466.2295081967</v>
      </c>
      <c r="G34" s="69">
        <v>100</v>
      </c>
    </row>
    <row r="35" spans="1:7" ht="12">
      <c r="A35" s="8"/>
      <c r="B35" s="174"/>
      <c r="C35" s="181"/>
      <c r="D35" s="182"/>
      <c r="E35" s="167"/>
      <c r="F35" s="64" t="s">
        <v>98</v>
      </c>
      <c r="G35" s="65"/>
    </row>
    <row r="36" spans="1:10" ht="12">
      <c r="A36" s="8"/>
      <c r="B36" s="174" t="s">
        <v>311</v>
      </c>
      <c r="C36" s="181">
        <f>C34-C38</f>
        <v>11810.815409836068</v>
      </c>
      <c r="D36" s="183">
        <f>D34-D38</f>
        <v>33.95</v>
      </c>
      <c r="E36" s="184"/>
      <c r="F36" s="64">
        <f>C36*12</f>
        <v>141729.78491803282</v>
      </c>
      <c r="G36" s="66">
        <f>F36/F34*100</f>
        <v>33.95000000000001</v>
      </c>
      <c r="J36" s="87" t="s">
        <v>98</v>
      </c>
    </row>
    <row r="37" spans="1:7" ht="12">
      <c r="A37" s="8"/>
      <c r="B37" s="174"/>
      <c r="C37" s="181"/>
      <c r="D37" s="183" t="s">
        <v>98</v>
      </c>
      <c r="E37" s="184"/>
      <c r="F37" s="64" t="s">
        <v>98</v>
      </c>
      <c r="G37" s="66" t="s">
        <v>98</v>
      </c>
    </row>
    <row r="38" spans="1:7" ht="12">
      <c r="A38" s="8"/>
      <c r="B38" s="74" t="s">
        <v>45</v>
      </c>
      <c r="C38" s="185">
        <f>D38*C34/100</f>
        <v>22978.037049180326</v>
      </c>
      <c r="D38" s="193">
        <f>D15</f>
        <v>66.05</v>
      </c>
      <c r="E38" s="187"/>
      <c r="F38" s="67">
        <f>C38*12</f>
        <v>275736.4445901639</v>
      </c>
      <c r="G38" s="68">
        <f>F38/F34*100</f>
        <v>66.04999999999998</v>
      </c>
    </row>
    <row r="39" spans="1:7" ht="12">
      <c r="A39" s="8"/>
      <c r="B39" s="174"/>
      <c r="C39" s="181"/>
      <c r="D39" s="183" t="s">
        <v>98</v>
      </c>
      <c r="E39" s="184"/>
      <c r="F39" s="64" t="s">
        <v>98</v>
      </c>
      <c r="G39" s="66" t="s">
        <v>98</v>
      </c>
    </row>
    <row r="40" spans="1:7" ht="12">
      <c r="A40" s="8"/>
      <c r="B40" s="174" t="s">
        <v>282</v>
      </c>
      <c r="C40" s="181">
        <f>tunnit!D23</f>
        <v>9418.5</v>
      </c>
      <c r="D40" s="183">
        <f>C40/C34*100</f>
        <v>27.073327615780446</v>
      </c>
      <c r="E40" s="184"/>
      <c r="F40" s="64">
        <f>C40*12</f>
        <v>113022</v>
      </c>
      <c r="G40" s="66">
        <f>F40/F34*100</f>
        <v>27.073327615780446</v>
      </c>
    </row>
    <row r="41" spans="1:7" ht="12">
      <c r="A41" s="8"/>
      <c r="B41" s="174"/>
      <c r="C41" s="181"/>
      <c r="D41" s="183" t="s">
        <v>98</v>
      </c>
      <c r="E41" s="184"/>
      <c r="F41" s="64" t="s">
        <v>98</v>
      </c>
      <c r="G41" s="66" t="s">
        <v>98</v>
      </c>
    </row>
    <row r="42" spans="1:7" ht="12">
      <c r="A42" s="8"/>
      <c r="B42" s="74" t="s">
        <v>46</v>
      </c>
      <c r="C42" s="185">
        <f>C38-C40</f>
        <v>13559.537049180326</v>
      </c>
      <c r="D42" s="186">
        <f>C42/C34*100</f>
        <v>38.97667238421955</v>
      </c>
      <c r="E42" s="187"/>
      <c r="F42" s="67">
        <f>C42*12</f>
        <v>162714.4445901639</v>
      </c>
      <c r="G42" s="68">
        <f>F42/F34*100</f>
        <v>38.976672384219555</v>
      </c>
    </row>
    <row r="43" spans="1:7" ht="12">
      <c r="A43" s="8"/>
      <c r="B43" s="174"/>
      <c r="C43" s="181"/>
      <c r="D43" s="183" t="s">
        <v>98</v>
      </c>
      <c r="E43" s="184"/>
      <c r="F43" s="64" t="s">
        <v>98</v>
      </c>
      <c r="G43" s="66" t="s">
        <v>98</v>
      </c>
    </row>
    <row r="44" spans="1:9" ht="12">
      <c r="A44" s="8"/>
      <c r="B44" s="174" t="s">
        <v>309</v>
      </c>
      <c r="C44" s="190">
        <f>C21</f>
        <v>3931.1403278688526</v>
      </c>
      <c r="D44" s="212">
        <f>C44/C34*100</f>
        <v>11.3</v>
      </c>
      <c r="E44" s="184"/>
      <c r="F44" s="64">
        <f>C44*12</f>
        <v>47173.68393442623</v>
      </c>
      <c r="G44" s="66">
        <f>F44/F34*100</f>
        <v>11.300000000000002</v>
      </c>
      <c r="I44" s="7" t="s">
        <v>98</v>
      </c>
    </row>
    <row r="45" spans="1:7" ht="3" customHeight="1">
      <c r="A45" s="8"/>
      <c r="B45" s="174"/>
      <c r="C45" s="213"/>
      <c r="D45" s="212"/>
      <c r="E45" s="184"/>
      <c r="F45" s="64"/>
      <c r="G45" s="66"/>
    </row>
    <row r="46" spans="1:7" ht="12">
      <c r="A46" s="8"/>
      <c r="B46" s="174" t="s">
        <v>378</v>
      </c>
      <c r="C46" s="190">
        <f>$C$22/10</f>
        <v>598.368262295082</v>
      </c>
      <c r="D46" s="212"/>
      <c r="E46" s="184"/>
      <c r="F46" s="64"/>
      <c r="G46" s="66"/>
    </row>
    <row r="47" spans="1:7" ht="12">
      <c r="A47" s="8"/>
      <c r="B47" s="174" t="s">
        <v>377</v>
      </c>
      <c r="C47" s="190">
        <f aca="true" t="shared" si="1" ref="C47:C55">$C$22/10</f>
        <v>598.368262295082</v>
      </c>
      <c r="D47" s="212"/>
      <c r="E47" s="184"/>
      <c r="F47" s="64"/>
      <c r="G47" s="66"/>
    </row>
    <row r="48" spans="1:7" ht="12">
      <c r="A48" s="8"/>
      <c r="B48" s="174" t="s">
        <v>379</v>
      </c>
      <c r="C48" s="190">
        <f t="shared" si="1"/>
        <v>598.368262295082</v>
      </c>
      <c r="D48" s="212"/>
      <c r="E48" s="184"/>
      <c r="F48" s="64"/>
      <c r="G48" s="66"/>
    </row>
    <row r="49" spans="1:7" ht="12">
      <c r="A49" s="8"/>
      <c r="B49" s="174" t="s">
        <v>380</v>
      </c>
      <c r="C49" s="190">
        <f t="shared" si="1"/>
        <v>598.368262295082</v>
      </c>
      <c r="D49" s="212"/>
      <c r="E49" s="184"/>
      <c r="F49" s="64"/>
      <c r="G49" s="66"/>
    </row>
    <row r="50" spans="1:7" ht="12">
      <c r="A50" s="8"/>
      <c r="B50" s="174" t="s">
        <v>381</v>
      </c>
      <c r="C50" s="190">
        <f t="shared" si="1"/>
        <v>598.368262295082</v>
      </c>
      <c r="D50" s="212"/>
      <c r="E50" s="184"/>
      <c r="F50" s="64"/>
      <c r="G50" s="66"/>
    </row>
    <row r="51" spans="1:7" ht="12">
      <c r="A51" s="8"/>
      <c r="B51" s="174" t="s">
        <v>382</v>
      </c>
      <c r="C51" s="190">
        <f t="shared" si="1"/>
        <v>598.368262295082</v>
      </c>
      <c r="D51" s="212"/>
      <c r="E51" s="184"/>
      <c r="F51" s="64"/>
      <c r="G51" s="66"/>
    </row>
    <row r="52" spans="1:7" ht="12">
      <c r="A52" s="8"/>
      <c r="B52" s="174" t="s">
        <v>383</v>
      </c>
      <c r="C52" s="190">
        <f t="shared" si="1"/>
        <v>598.368262295082</v>
      </c>
      <c r="D52" s="212"/>
      <c r="E52" s="184"/>
      <c r="F52" s="64"/>
      <c r="G52" s="66"/>
    </row>
    <row r="53" spans="1:7" ht="12">
      <c r="A53" s="8"/>
      <c r="B53" s="174" t="s">
        <v>384</v>
      </c>
      <c r="C53" s="190">
        <f t="shared" si="1"/>
        <v>598.368262295082</v>
      </c>
      <c r="D53" s="212"/>
      <c r="E53" s="184"/>
      <c r="F53" s="64"/>
      <c r="G53" s="66"/>
    </row>
    <row r="54" spans="1:7" ht="12">
      <c r="A54" s="8"/>
      <c r="B54" s="174" t="s">
        <v>242</v>
      </c>
      <c r="C54" s="190">
        <f t="shared" si="1"/>
        <v>598.368262295082</v>
      </c>
      <c r="D54" s="212"/>
      <c r="E54" s="184"/>
      <c r="F54" s="64"/>
      <c r="G54" s="66"/>
    </row>
    <row r="55" spans="1:7" ht="12">
      <c r="A55" s="8"/>
      <c r="B55" s="174" t="s">
        <v>243</v>
      </c>
      <c r="C55" s="190">
        <f t="shared" si="1"/>
        <v>598.368262295082</v>
      </c>
      <c r="D55" s="212"/>
      <c r="E55" s="184"/>
      <c r="F55" s="64"/>
      <c r="G55" s="66"/>
    </row>
    <row r="56" spans="1:7" ht="12">
      <c r="A56" s="8"/>
      <c r="B56" s="174" t="s">
        <v>376</v>
      </c>
      <c r="C56" s="213">
        <f>C46+C47+C48+C49+C50+C51+C52+C53+C54+C55</f>
        <v>5983.68262295082</v>
      </c>
      <c r="D56" s="212">
        <f>C56/C34*100</f>
        <v>17.2</v>
      </c>
      <c r="E56" s="184"/>
      <c r="F56" s="64">
        <f>C56*12</f>
        <v>71804.19147540984</v>
      </c>
      <c r="G56" s="66">
        <f>F56/F34*100</f>
        <v>17.200000000000003</v>
      </c>
    </row>
    <row r="57" spans="1:7" ht="12">
      <c r="A57" s="8"/>
      <c r="B57" s="174"/>
      <c r="C57" s="181"/>
      <c r="D57" s="183" t="s">
        <v>98</v>
      </c>
      <c r="E57" s="184"/>
      <c r="F57" s="64" t="s">
        <v>98</v>
      </c>
      <c r="G57" s="66" t="s">
        <v>98</v>
      </c>
    </row>
    <row r="58" spans="1:7" ht="12.75" thickBot="1">
      <c r="A58" s="8"/>
      <c r="B58" s="74" t="s">
        <v>47</v>
      </c>
      <c r="C58" s="188">
        <f>C42-(C44+C56)</f>
        <v>3644.714098360653</v>
      </c>
      <c r="D58" s="189">
        <f>C58/C34*100</f>
        <v>10.476672384219547</v>
      </c>
      <c r="E58" s="187"/>
      <c r="F58" s="71">
        <f>C58*12</f>
        <v>43736.56918032784</v>
      </c>
      <c r="G58" s="72">
        <f>F58/F34*100</f>
        <v>10.476672384219547</v>
      </c>
    </row>
    <row r="59" spans="1:5" ht="9.75">
      <c r="A59" s="8"/>
      <c r="E59" s="8"/>
    </row>
    <row r="60" ht="9.75">
      <c r="E60" s="8"/>
    </row>
    <row r="61" spans="3:6" ht="9.75">
      <c r="C61" s="7" t="s">
        <v>98</v>
      </c>
      <c r="D61" s="87" t="s">
        <v>98</v>
      </c>
      <c r="F61" s="7" t="s">
        <v>98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50" zoomScaleNormal="150" workbookViewId="0" topLeftCell="A1">
      <selection activeCell="I60" sqref="I60"/>
    </sheetView>
  </sheetViews>
  <sheetFormatPr defaultColWidth="8.375" defaultRowHeight="12.75"/>
  <cols>
    <col min="1" max="1" width="22.875" style="144" customWidth="1"/>
    <col min="2" max="2" width="10.375" style="144" customWidth="1"/>
    <col min="3" max="3" width="10.00390625" style="144" customWidth="1"/>
    <col min="4" max="4" width="4.625" style="144" customWidth="1"/>
    <col min="5" max="5" width="10.00390625" style="144" customWidth="1"/>
    <col min="6" max="6" width="4.625" style="144" customWidth="1"/>
    <col min="7" max="7" width="10.00390625" style="144" customWidth="1"/>
    <col min="8" max="8" width="4.625" style="144" customWidth="1"/>
    <col min="9" max="9" width="10.00390625" style="144" customWidth="1"/>
    <col min="10" max="10" width="4.625" style="144" customWidth="1"/>
    <col min="11" max="11" width="9.875" style="144" customWidth="1"/>
    <col min="12" max="12" width="4.625" style="144" customWidth="1"/>
    <col min="13" max="16384" width="8.375" style="144" customWidth="1"/>
  </cols>
  <sheetData>
    <row r="1" spans="1:12" ht="18">
      <c r="A1" s="82" t="s">
        <v>114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84" t="s">
        <v>503</v>
      </c>
      <c r="B2" s="10" t="s">
        <v>98</v>
      </c>
      <c r="C2" s="10" t="s">
        <v>98</v>
      </c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11" t="s">
        <v>44</v>
      </c>
      <c r="B3" s="12">
        <v>0</v>
      </c>
      <c r="C3" s="12">
        <v>1</v>
      </c>
      <c r="D3" s="12"/>
      <c r="E3" s="12">
        <v>2</v>
      </c>
      <c r="F3" s="12"/>
      <c r="G3" s="12">
        <v>3</v>
      </c>
      <c r="H3" s="12"/>
      <c r="I3" s="12">
        <v>4</v>
      </c>
      <c r="J3" s="12"/>
      <c r="K3" s="12">
        <v>5</v>
      </c>
      <c r="L3" s="12"/>
    </row>
    <row r="4" spans="1:12" ht="12.75">
      <c r="A4" s="9" t="s">
        <v>98</v>
      </c>
      <c r="B4" s="6"/>
      <c r="C4" s="3" t="s">
        <v>248</v>
      </c>
      <c r="D4" s="3" t="s">
        <v>38</v>
      </c>
      <c r="E4" s="3" t="s">
        <v>248</v>
      </c>
      <c r="F4" s="3" t="s">
        <v>38</v>
      </c>
      <c r="G4" s="3" t="s">
        <v>248</v>
      </c>
      <c r="H4" s="3" t="s">
        <v>38</v>
      </c>
      <c r="I4" s="3" t="s">
        <v>248</v>
      </c>
      <c r="J4" s="3" t="s">
        <v>38</v>
      </c>
      <c r="K4" s="3" t="s">
        <v>248</v>
      </c>
      <c r="L4" s="3" t="s">
        <v>38</v>
      </c>
    </row>
    <row r="5" spans="1:12" ht="4.5" customHeight="1">
      <c r="A5" s="6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34" t="s">
        <v>60</v>
      </c>
      <c r="B6" s="435"/>
      <c r="C6" s="194">
        <f>tulos12kk!F8</f>
        <v>509308.80000000005</v>
      </c>
      <c r="D6" s="3">
        <v>122</v>
      </c>
      <c r="E6" s="194">
        <f>C6*(1+$B$33/100)</f>
        <v>524588.064</v>
      </c>
      <c r="F6" s="3">
        <v>122</v>
      </c>
      <c r="G6" s="194">
        <f>E6*(1+$B$33/100)</f>
        <v>540325.70592</v>
      </c>
      <c r="H6" s="3">
        <v>122</v>
      </c>
      <c r="I6" s="194">
        <f>G6*(1+$B$33/100)</f>
        <v>556535.4770976</v>
      </c>
      <c r="J6" s="3">
        <v>123</v>
      </c>
      <c r="K6" s="194">
        <f>I6*(1+$B$33/100)</f>
        <v>573231.541410528</v>
      </c>
      <c r="L6" s="3">
        <v>124</v>
      </c>
    </row>
    <row r="7" spans="1:12" ht="4.5" customHeight="1">
      <c r="A7" s="22"/>
      <c r="B7" s="6"/>
      <c r="C7" s="4"/>
      <c r="D7" s="3"/>
      <c r="E7" s="4"/>
      <c r="F7" s="3"/>
      <c r="G7" s="4"/>
      <c r="H7" s="3"/>
      <c r="I7" s="4"/>
      <c r="J7" s="3"/>
      <c r="K7" s="4"/>
      <c r="L7" s="3"/>
    </row>
    <row r="8" spans="1:12" ht="12.75">
      <c r="A8" s="125" t="s">
        <v>247</v>
      </c>
      <c r="B8" s="13"/>
      <c r="C8" s="4">
        <f>tulos12kk!F11</f>
        <v>417466.2295081967</v>
      </c>
      <c r="D8" s="3">
        <v>100</v>
      </c>
      <c r="E8" s="4">
        <f>C8*(1+$B$34/100)</f>
        <v>438339.54098360654</v>
      </c>
      <c r="F8" s="3">
        <v>100</v>
      </c>
      <c r="G8" s="4">
        <f>E8*(1+$B$34/100)</f>
        <v>460256.5180327869</v>
      </c>
      <c r="H8" s="3">
        <v>100</v>
      </c>
      <c r="I8" s="4">
        <f>G8*(1+$B$34/100)</f>
        <v>483269.34393442626</v>
      </c>
      <c r="J8" s="3">
        <v>100</v>
      </c>
      <c r="K8" s="4">
        <f>I8*(1+$B$34/100)</f>
        <v>507432.8111311476</v>
      </c>
      <c r="L8" s="3">
        <v>100</v>
      </c>
    </row>
    <row r="9" spans="1:12" ht="4.5" customHeight="1">
      <c r="A9" s="22"/>
      <c r="B9" s="6"/>
      <c r="C9" s="195"/>
      <c r="D9" s="3"/>
      <c r="E9" s="4"/>
      <c r="F9" s="3"/>
      <c r="G9" s="4"/>
      <c r="H9" s="3"/>
      <c r="I9" s="4"/>
      <c r="J9" s="3"/>
      <c r="K9" s="4"/>
      <c r="L9" s="3"/>
    </row>
    <row r="10" spans="1:12" ht="12.75">
      <c r="A10" s="22" t="s">
        <v>311</v>
      </c>
      <c r="B10" s="6"/>
      <c r="C10" s="194">
        <f>tulos12kk!F13</f>
        <v>141729.78491803282</v>
      </c>
      <c r="D10" s="5">
        <f>C10/C8*100</f>
        <v>33.95000000000001</v>
      </c>
      <c r="E10" s="194">
        <f>C10*(1+$B$34/100)</f>
        <v>148816.27416393446</v>
      </c>
      <c r="F10" s="5">
        <f>E10/E8*100</f>
        <v>33.95000000000001</v>
      </c>
      <c r="G10" s="194">
        <f>E10*(1+$B$34/100)</f>
        <v>156257.0878721312</v>
      </c>
      <c r="H10" s="5">
        <f>G10/G8*100</f>
        <v>33.95000000000002</v>
      </c>
      <c r="I10" s="194">
        <f>G10*(1+$B$34/100)</f>
        <v>164069.94226573777</v>
      </c>
      <c r="J10" s="5">
        <f>I10/I8*100</f>
        <v>33.95000000000002</v>
      </c>
      <c r="K10" s="194">
        <f>I10*(1+$B$34/100)</f>
        <v>172273.43937902467</v>
      </c>
      <c r="L10" s="5">
        <f>K10/K8*100</f>
        <v>33.95000000000002</v>
      </c>
    </row>
    <row r="11" spans="1:12" ht="4.5" customHeight="1">
      <c r="A11" s="22"/>
      <c r="B11" s="6"/>
      <c r="C11" s="4"/>
      <c r="D11" s="5" t="s">
        <v>98</v>
      </c>
      <c r="E11" s="4"/>
      <c r="F11" s="5" t="s">
        <v>98</v>
      </c>
      <c r="G11" s="4"/>
      <c r="H11" s="5" t="s">
        <v>98</v>
      </c>
      <c r="I11" s="4"/>
      <c r="J11" s="5" t="s">
        <v>98</v>
      </c>
      <c r="K11" s="4"/>
      <c r="L11" s="5" t="s">
        <v>98</v>
      </c>
    </row>
    <row r="12" spans="1:12" ht="12.75">
      <c r="A12" s="125" t="s">
        <v>45</v>
      </c>
      <c r="B12" s="13"/>
      <c r="C12" s="196">
        <f>C8-C10</f>
        <v>275736.4445901639</v>
      </c>
      <c r="D12" s="5">
        <f>C12/C8*100</f>
        <v>66.04999999999998</v>
      </c>
      <c r="E12" s="196">
        <f>E8-E10</f>
        <v>289523.2668196721</v>
      </c>
      <c r="F12" s="5">
        <f>E12/E8*100</f>
        <v>66.04999999999998</v>
      </c>
      <c r="G12" s="196">
        <f>G8-G10</f>
        <v>303999.4301606557</v>
      </c>
      <c r="H12" s="5">
        <f>G12/G8*100</f>
        <v>66.04999999999998</v>
      </c>
      <c r="I12" s="196">
        <f>I8-I10</f>
        <v>319199.4016686885</v>
      </c>
      <c r="J12" s="5">
        <f>I12/I8*100</f>
        <v>66.05</v>
      </c>
      <c r="K12" s="196">
        <f>K8-K10</f>
        <v>335159.37175212294</v>
      </c>
      <c r="L12" s="5">
        <f>K12/K8*100</f>
        <v>66.04999999999998</v>
      </c>
    </row>
    <row r="13" spans="1:12" ht="4.5" customHeight="1">
      <c r="A13" s="22"/>
      <c r="B13" s="6"/>
      <c r="C13" s="195"/>
      <c r="D13" s="5" t="s">
        <v>98</v>
      </c>
      <c r="E13" s="4"/>
      <c r="F13" s="5" t="s">
        <v>98</v>
      </c>
      <c r="G13" s="4"/>
      <c r="H13" s="5" t="s">
        <v>98</v>
      </c>
      <c r="I13" s="4"/>
      <c r="J13" s="5" t="s">
        <v>98</v>
      </c>
      <c r="K13" s="4"/>
      <c r="L13" s="5" t="s">
        <v>98</v>
      </c>
    </row>
    <row r="14" spans="1:12" ht="12.75">
      <c r="A14" s="22" t="s">
        <v>313</v>
      </c>
      <c r="B14" s="6"/>
      <c r="C14" s="194">
        <f>tulos12kk!F17</f>
        <v>113022</v>
      </c>
      <c r="D14" s="5">
        <f>C14/C8*100</f>
        <v>27.073327615780446</v>
      </c>
      <c r="E14" s="194">
        <f>C14*(1+$B$34/100)</f>
        <v>118673.1</v>
      </c>
      <c r="F14" s="5">
        <f>E14/E8*100</f>
        <v>27.073327615780446</v>
      </c>
      <c r="G14" s="194">
        <f>E14*(1+$B$34/100)</f>
        <v>124606.755</v>
      </c>
      <c r="H14" s="5">
        <f>G14/G8*100</f>
        <v>27.073327615780446</v>
      </c>
      <c r="I14" s="194">
        <f>G14*(1+$B$34/100)</f>
        <v>130837.09275000001</v>
      </c>
      <c r="J14" s="5">
        <f>I14/I8*100</f>
        <v>27.073327615780446</v>
      </c>
      <c r="K14" s="194">
        <f>I14*(1+$B$34/100)</f>
        <v>137378.94738750003</v>
      </c>
      <c r="L14" s="5">
        <f>K14/K8*100</f>
        <v>27.073327615780446</v>
      </c>
    </row>
    <row r="15" spans="1:12" ht="4.5" customHeight="1">
      <c r="A15" s="126"/>
      <c r="B15" s="14"/>
      <c r="C15" s="4"/>
      <c r="D15" s="5" t="s">
        <v>98</v>
      </c>
      <c r="E15" s="4"/>
      <c r="F15" s="5" t="s">
        <v>98</v>
      </c>
      <c r="G15" s="4"/>
      <c r="H15" s="5" t="s">
        <v>98</v>
      </c>
      <c r="I15" s="4"/>
      <c r="J15" s="5" t="s">
        <v>98</v>
      </c>
      <c r="K15" s="4"/>
      <c r="L15" s="5" t="s">
        <v>98</v>
      </c>
    </row>
    <row r="16" spans="1:12" ht="12.75">
      <c r="A16" s="125" t="s">
        <v>46</v>
      </c>
      <c r="B16" s="13"/>
      <c r="C16" s="196">
        <f>C12-C14</f>
        <v>162714.44459016388</v>
      </c>
      <c r="D16" s="5">
        <f>C16/C8*100</f>
        <v>38.97667238421955</v>
      </c>
      <c r="E16" s="196">
        <f>E12-E14</f>
        <v>170850.16681967207</v>
      </c>
      <c r="F16" s="5">
        <f>E16/E8*100</f>
        <v>38.97667238421954</v>
      </c>
      <c r="G16" s="196">
        <f>G12-G14</f>
        <v>179392.6751606557</v>
      </c>
      <c r="H16" s="5">
        <f>G16/G8*100</f>
        <v>38.97667238421954</v>
      </c>
      <c r="I16" s="196">
        <f>I12-I14</f>
        <v>188362.3089186885</v>
      </c>
      <c r="J16" s="5">
        <f>I16/I8*100</f>
        <v>38.97667238421955</v>
      </c>
      <c r="K16" s="196">
        <f>K12-K14</f>
        <v>197780.42436462292</v>
      </c>
      <c r="L16" s="5">
        <f>K16/K8*100</f>
        <v>38.97667238421954</v>
      </c>
    </row>
    <row r="17" spans="1:12" ht="4.5" customHeight="1">
      <c r="A17" s="22"/>
      <c r="B17" s="6"/>
      <c r="C17" s="195"/>
      <c r="D17" s="5" t="s">
        <v>98</v>
      </c>
      <c r="E17" s="4"/>
      <c r="F17" s="5" t="s">
        <v>98</v>
      </c>
      <c r="G17" s="4"/>
      <c r="H17" s="5" t="s">
        <v>98</v>
      </c>
      <c r="I17" s="4"/>
      <c r="J17" s="5" t="s">
        <v>98</v>
      </c>
      <c r="K17" s="4"/>
      <c r="L17" s="5" t="s">
        <v>98</v>
      </c>
    </row>
    <row r="18" spans="1:12" ht="12.75">
      <c r="A18" s="22" t="s">
        <v>314</v>
      </c>
      <c r="B18" s="6"/>
      <c r="C18" s="194">
        <f>tulos12kk!F21+tulos12kk!F22</f>
        <v>118977.87540983607</v>
      </c>
      <c r="D18" s="5">
        <f>C18/C8*100</f>
        <v>28.500000000000004</v>
      </c>
      <c r="E18" s="194">
        <f>C18*(1+$B$34/100)</f>
        <v>124926.76918032787</v>
      </c>
      <c r="F18" s="5">
        <f>E18/E8*100</f>
        <v>28.500000000000004</v>
      </c>
      <c r="G18" s="194">
        <f>E18*(1+$B$34/100)</f>
        <v>131173.10763934426</v>
      </c>
      <c r="H18" s="5">
        <f>G18/G8*100</f>
        <v>28.499999999999996</v>
      </c>
      <c r="I18" s="194">
        <f>G18*(1+$B$34/100)</f>
        <v>137731.7630213115</v>
      </c>
      <c r="J18" s="5">
        <f>I18/I8*100</f>
        <v>28.500000000000004</v>
      </c>
      <c r="K18" s="194">
        <f>I18*(1+$B$34/100)</f>
        <v>144618.35117237706</v>
      </c>
      <c r="L18" s="5">
        <f>K18/K8*100</f>
        <v>28.499999999999996</v>
      </c>
    </row>
    <row r="19" spans="1:12" ht="4.5" customHeight="1">
      <c r="A19" s="22"/>
      <c r="B19" s="6"/>
      <c r="C19" s="4"/>
      <c r="D19" s="5" t="s">
        <v>98</v>
      </c>
      <c r="E19" s="4"/>
      <c r="F19" s="5" t="s">
        <v>98</v>
      </c>
      <c r="G19" s="4"/>
      <c r="H19" s="5" t="s">
        <v>98</v>
      </c>
      <c r="I19" s="4"/>
      <c r="J19" s="5" t="s">
        <v>98</v>
      </c>
      <c r="K19" s="4"/>
      <c r="L19" s="5" t="s">
        <v>98</v>
      </c>
    </row>
    <row r="20" spans="1:12" ht="12.75">
      <c r="A20" s="125" t="s">
        <v>47</v>
      </c>
      <c r="B20" s="13"/>
      <c r="C20" s="196">
        <f>C16-C18</f>
        <v>43736.56918032782</v>
      </c>
      <c r="D20" s="5">
        <f>C20/C8*100</f>
        <v>10.476672384219542</v>
      </c>
      <c r="E20" s="196">
        <f>E16-E18</f>
        <v>45923.3976393442</v>
      </c>
      <c r="F20" s="5">
        <f>E20/E8*100</f>
        <v>10.47667238421954</v>
      </c>
      <c r="G20" s="196">
        <f>G16-G18</f>
        <v>48219.56752131143</v>
      </c>
      <c r="H20" s="5">
        <f>G20/G8*100</f>
        <v>10.476672384219544</v>
      </c>
      <c r="I20" s="196">
        <f>I16-I18</f>
        <v>50630.545897377015</v>
      </c>
      <c r="J20" s="5">
        <f>I20/I8*100</f>
        <v>10.476672384219546</v>
      </c>
      <c r="K20" s="196">
        <f>K16-K18</f>
        <v>53162.07319224585</v>
      </c>
      <c r="L20" s="5">
        <f>K20/K8*100</f>
        <v>10.476672384219544</v>
      </c>
    </row>
    <row r="21" spans="1:12" ht="4.5" customHeight="1">
      <c r="A21" s="6"/>
      <c r="B21" s="6"/>
      <c r="C21" s="195"/>
      <c r="D21" s="5" t="s">
        <v>98</v>
      </c>
      <c r="E21" s="4"/>
      <c r="F21" s="5" t="s">
        <v>98</v>
      </c>
      <c r="G21" s="4"/>
      <c r="H21" s="5" t="s">
        <v>98</v>
      </c>
      <c r="I21" s="4"/>
      <c r="J21" s="5" t="s">
        <v>98</v>
      </c>
      <c r="K21" s="4"/>
      <c r="L21" s="5" t="s">
        <v>98</v>
      </c>
    </row>
    <row r="22" spans="1:12" ht="12.75">
      <c r="A22" s="16" t="s">
        <v>3</v>
      </c>
      <c r="B22" s="215">
        <v>90000</v>
      </c>
      <c r="C22" s="15"/>
      <c r="D22" s="6"/>
      <c r="E22" s="15"/>
      <c r="F22" s="6"/>
      <c r="G22" s="15"/>
      <c r="H22" s="6"/>
      <c r="I22" s="15"/>
      <c r="J22" s="6"/>
      <c r="K22" s="15"/>
      <c r="L22" s="6"/>
    </row>
    <row r="23" spans="1:12" ht="4.5" customHeight="1">
      <c r="A23" s="2"/>
      <c r="B23" s="197"/>
      <c r="C23" s="15"/>
      <c r="D23" s="6"/>
      <c r="E23" s="15"/>
      <c r="F23" s="6"/>
      <c r="G23" s="15"/>
      <c r="H23" s="6"/>
      <c r="I23" s="15"/>
      <c r="J23" s="6"/>
      <c r="K23" s="15"/>
      <c r="L23" s="6"/>
    </row>
    <row r="24" spans="1:12" ht="12.75">
      <c r="A24" s="17" t="s">
        <v>504</v>
      </c>
      <c r="B24" s="18" t="s">
        <v>98</v>
      </c>
      <c r="C24" s="19">
        <f>12*$G$32</f>
        <v>20380.932335531743</v>
      </c>
      <c r="D24" s="18" t="s">
        <v>248</v>
      </c>
      <c r="E24" s="19">
        <f>IF(C27=0,0,12*$G$32)</f>
        <v>20380.932335531743</v>
      </c>
      <c r="F24" s="18" t="s">
        <v>248</v>
      </c>
      <c r="G24" s="19">
        <f>IF(E27=0,0,12*$G$32)</f>
        <v>20380.932335531743</v>
      </c>
      <c r="H24" s="18" t="s">
        <v>248</v>
      </c>
      <c r="I24" s="19">
        <f>IF(G27=0,0,12*$G$32)</f>
        <v>20380.932335531743</v>
      </c>
      <c r="J24" s="18" t="s">
        <v>248</v>
      </c>
      <c r="K24" s="19">
        <f>IF(I27=0,0,12*$G$32)</f>
        <v>20380.932335531743</v>
      </c>
      <c r="L24" s="20" t="s">
        <v>248</v>
      </c>
    </row>
    <row r="25" spans="1:12" ht="12.75">
      <c r="A25" s="17" t="s">
        <v>505</v>
      </c>
      <c r="B25" s="18"/>
      <c r="C25" s="19">
        <f>B22-C27</f>
        <v>16249.97276834384</v>
      </c>
      <c r="D25" s="18" t="s">
        <v>248</v>
      </c>
      <c r="E25" s="19">
        <f>IF(C25=0,0,C27-E27)</f>
        <v>17081.352215698833</v>
      </c>
      <c r="F25" s="18" t="s">
        <v>248</v>
      </c>
      <c r="G25" s="19">
        <f>IF(E25=0,0,E27-G27)</f>
        <v>17955.266613440283</v>
      </c>
      <c r="H25" s="18" t="s">
        <v>248</v>
      </c>
      <c r="I25" s="19">
        <f>IF(G25=0,0,G27-I27)</f>
        <v>18873.89213035645</v>
      </c>
      <c r="J25" s="18" t="s">
        <v>248</v>
      </c>
      <c r="K25" s="19">
        <f>IF(I25=0,0,I27-K27)</f>
        <v>19839.516272160596</v>
      </c>
      <c r="L25" s="20" t="s">
        <v>248</v>
      </c>
    </row>
    <row r="26" spans="1:12" ht="12.75">
      <c r="A26" s="17" t="s">
        <v>506</v>
      </c>
      <c r="B26" s="21"/>
      <c r="C26" s="19">
        <f>C24-C25</f>
        <v>4130.959567187903</v>
      </c>
      <c r="D26" s="18" t="s">
        <v>248</v>
      </c>
      <c r="E26" s="19">
        <f>E24-E25</f>
        <v>3299.58011983291</v>
      </c>
      <c r="F26" s="18" t="s">
        <v>248</v>
      </c>
      <c r="G26" s="19">
        <f>IF(C27=0,0,G24-G25)</f>
        <v>2425.6657220914603</v>
      </c>
      <c r="H26" s="18" t="s">
        <v>248</v>
      </c>
      <c r="I26" s="19">
        <f>G27*(1+($B$32/100))-G27</f>
        <v>1935.6704201258544</v>
      </c>
      <c r="J26" s="18" t="s">
        <v>248</v>
      </c>
      <c r="K26" s="19">
        <f>I27*(1+($B$32/100))-I27</f>
        <v>991.9758136080309</v>
      </c>
      <c r="L26" s="20" t="s">
        <v>248</v>
      </c>
    </row>
    <row r="27" spans="1:12" ht="12.75" customHeight="1">
      <c r="A27" s="17" t="s">
        <v>507</v>
      </c>
      <c r="B27" s="21">
        <f>B22</f>
        <v>90000</v>
      </c>
      <c r="C27" s="19">
        <f>$G$32*(1-((1+$B$32/1200)^(-(($B$34-C3)*12))))/($B$32/1200)</f>
        <v>73750.02723165616</v>
      </c>
      <c r="D27" s="18" t="s">
        <v>248</v>
      </c>
      <c r="E27" s="19">
        <f>IF(C27=0,0,($G$32*(1-((1+$B$32/1200)^(-(($B$34-E3)*12))))/($B$32/1200)))</f>
        <v>56668.67501595733</v>
      </c>
      <c r="F27" s="18" t="s">
        <v>248</v>
      </c>
      <c r="G27" s="19">
        <f>IF(E27=0,0,($G$32*(1-((1+$B$32/1200)^(-(($B$34-G3)*12))))/($B$32/1200)))</f>
        <v>38713.408402517045</v>
      </c>
      <c r="H27" s="18" t="s">
        <v>248</v>
      </c>
      <c r="I27" s="19">
        <f>IF(G27=0,0,($G$32*(1-((1+$B$32/1200)^(-(($B$34-I3)*12))))/($B$32/1200)))</f>
        <v>19839.516272160596</v>
      </c>
      <c r="J27" s="18" t="s">
        <v>248</v>
      </c>
      <c r="K27" s="19">
        <f>IF(I27=0,0,($G$32*(1-((1+$B$32/1200)^(-(($B$34-K3)*12))))/($B$32/1200)))</f>
        <v>0</v>
      </c>
      <c r="L27" s="20" t="s">
        <v>248</v>
      </c>
    </row>
    <row r="28" spans="1:12" ht="12.75" customHeight="1">
      <c r="A28" s="17" t="s">
        <v>508</v>
      </c>
      <c r="B28" s="81"/>
      <c r="C28" s="214">
        <f>C20-C24-C26</f>
        <v>19224.67727760817</v>
      </c>
      <c r="D28" s="20" t="s">
        <v>248</v>
      </c>
      <c r="E28" s="214">
        <f>E20-E24-E26</f>
        <v>22242.885183979546</v>
      </c>
      <c r="F28" s="20" t="s">
        <v>248</v>
      </c>
      <c r="G28" s="214">
        <f>G20-G24-G26</f>
        <v>25412.969463688227</v>
      </c>
      <c r="H28" s="20" t="s">
        <v>248</v>
      </c>
      <c r="I28" s="214">
        <f>I20-I24-I26</f>
        <v>28313.943141719417</v>
      </c>
      <c r="J28" s="20" t="s">
        <v>248</v>
      </c>
      <c r="K28" s="214">
        <f>K20-K24-K26</f>
        <v>31789.165043106073</v>
      </c>
      <c r="L28" s="20" t="s">
        <v>248</v>
      </c>
    </row>
    <row r="29" spans="1:12" ht="12.75" customHeight="1">
      <c r="A29" s="17" t="s">
        <v>96</v>
      </c>
      <c r="B29" s="21"/>
      <c r="C29" s="19">
        <f>(C14+C18+C24+C26)/(D12/100)</f>
        <v>388359.9807911518</v>
      </c>
      <c r="D29" s="18" t="s">
        <v>248</v>
      </c>
      <c r="E29" s="19">
        <f>(E14+E18+E24+E26)/(F12/100)</f>
        <v>404663.7117875739</v>
      </c>
      <c r="F29" s="18" t="s">
        <v>248</v>
      </c>
      <c r="G29" s="19">
        <f>(G14+G18+G24+G26)/(H12/100)</f>
        <v>421781.1668387093</v>
      </c>
      <c r="H29" s="18" t="s">
        <v>248</v>
      </c>
      <c r="I29" s="19">
        <f>(I14+I18+I24+I26)/(J12/100)</f>
        <v>440401.90541554743</v>
      </c>
      <c r="J29" s="18" t="s">
        <v>248</v>
      </c>
      <c r="K29" s="19">
        <f>(K14+K18+K24+K26)/(L12/100)</f>
        <v>459303.87086906424</v>
      </c>
      <c r="L29" s="20" t="s">
        <v>248</v>
      </c>
    </row>
    <row r="30" spans="1:12" ht="12.75" customHeight="1">
      <c r="A30" s="6"/>
      <c r="B30" s="80"/>
      <c r="C30" s="14"/>
      <c r="D30" s="14"/>
      <c r="E30" s="14"/>
      <c r="F30" s="14"/>
      <c r="G30" s="14"/>
      <c r="H30" s="14"/>
      <c r="I30" s="14" t="s">
        <v>509</v>
      </c>
      <c r="J30" s="14"/>
      <c r="K30" s="14"/>
      <c r="L30" s="14"/>
    </row>
    <row r="31" spans="1:12" ht="12.75">
      <c r="A31" s="6"/>
      <c r="B31" s="80"/>
      <c r="C31" s="14"/>
      <c r="D31" s="14"/>
      <c r="E31" s="14"/>
      <c r="F31" s="14"/>
      <c r="G31" s="14"/>
      <c r="H31" s="14"/>
      <c r="I31" s="14"/>
      <c r="J31" s="14"/>
      <c r="K31" s="14" t="s">
        <v>98</v>
      </c>
      <c r="L31" s="14"/>
    </row>
    <row r="32" spans="1:12" ht="12.75">
      <c r="A32" s="204" t="s">
        <v>4</v>
      </c>
      <c r="B32" s="198">
        <v>5</v>
      </c>
      <c r="C32" s="20" t="s">
        <v>38</v>
      </c>
      <c r="D32" s="14"/>
      <c r="E32" s="436" t="s">
        <v>510</v>
      </c>
      <c r="F32" s="18"/>
      <c r="G32" s="437">
        <f>-(PMT(B32/1200,B34*12,B22,0,0))</f>
        <v>1698.4110279609786</v>
      </c>
      <c r="H32" s="1"/>
      <c r="I32" s="1"/>
      <c r="J32" s="14"/>
      <c r="K32" s="14"/>
      <c r="L32" s="14"/>
    </row>
    <row r="33" spans="1:12" ht="12.75">
      <c r="A33" s="438" t="s">
        <v>315</v>
      </c>
      <c r="B33" s="198">
        <v>3</v>
      </c>
      <c r="C33" s="100" t="s">
        <v>38</v>
      </c>
      <c r="D33" s="31"/>
      <c r="E33" s="439" t="s">
        <v>511</v>
      </c>
      <c r="F33" s="33"/>
      <c r="G33" s="437">
        <f>(B34*G32*12)-B22</f>
        <v>11904.661677658703</v>
      </c>
      <c r="H33" s="1"/>
      <c r="I33" s="1"/>
      <c r="J33" s="31"/>
      <c r="K33" s="31"/>
      <c r="L33" s="31"/>
    </row>
    <row r="34" spans="1:12" ht="12.75">
      <c r="A34" s="438" t="s">
        <v>5</v>
      </c>
      <c r="B34" s="200">
        <v>5</v>
      </c>
      <c r="C34" s="86" t="s">
        <v>97</v>
      </c>
      <c r="D34" s="31"/>
      <c r="E34" s="439" t="s">
        <v>512</v>
      </c>
      <c r="F34" s="131"/>
      <c r="G34" s="437">
        <f>B34*12*G32</f>
        <v>101904.66167765872</v>
      </c>
      <c r="H34"/>
      <c r="I34"/>
      <c r="J34"/>
      <c r="K34"/>
      <c r="L34"/>
    </row>
    <row r="35" ht="12.75"/>
    <row r="36" spans="1:3" ht="12.75">
      <c r="A36" s="144" t="s">
        <v>98</v>
      </c>
      <c r="C36" s="144" t="s">
        <v>98</v>
      </c>
    </row>
    <row r="37" spans="1:3" ht="12">
      <c r="A37" s="144" t="s">
        <v>98</v>
      </c>
      <c r="C37" s="144" t="s">
        <v>98</v>
      </c>
    </row>
  </sheetData>
  <conditionalFormatting sqref="C27 E27 G27 I27 K27">
    <cfRule type="cellIs" priority="1" dxfId="3" operator="lessThanOrEqual" stopIfTrue="1">
      <formula>0</formula>
    </cfRule>
  </conditionalFormatting>
  <conditionalFormatting sqref="E24:E25 G24:G26 I24:I26 K24:K26">
    <cfRule type="cellIs" priority="2" dxfId="4" operator="lessThanOrEqual" stopIfTrue="1">
      <formula>0</formula>
    </cfRule>
  </conditionalFormatting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r</dc:creator>
  <cp:keywords/>
  <dc:description/>
  <cp:lastModifiedBy>Tomas Romero</cp:lastModifiedBy>
  <cp:lastPrinted>2009-09-07T10:01:23Z</cp:lastPrinted>
  <dcterms:created xsi:type="dcterms:W3CDTF">2002-10-05T15:26:57Z</dcterms:created>
  <dcterms:modified xsi:type="dcterms:W3CDTF">2009-09-07T10:03:59Z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