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180" windowHeight="12660" firstSheet="4" activeTab="6"/>
  </bookViews>
  <sheets>
    <sheet name="3.1.-3.8. Ak, myka ja myka-%" sheetId="1" r:id="rId1"/>
    <sheet name="3.9.-3.14. Varaston valvonta" sheetId="3" r:id="rId2"/>
    <sheet name="3.15.-3.16. Oper. tunnusluvut" sheetId="4" r:id="rId3"/>
    <sheet name="3.17.-3.24. Oper. tulossuun." sheetId="5" r:id="rId4"/>
    <sheet name="3.25.-3.29. Työv.käytön suunn" sheetId="6" r:id="rId5"/>
    <sheet name="3.30.-3.31. Myynnin suunnittelu" sheetId="7" r:id="rId6"/>
    <sheet name="3.32.-3.39. Oper. budjetointi" sheetId="8" r:id="rId7"/>
  </sheets>
  <calcPr calcId="145621"/>
</workbook>
</file>

<file path=xl/calcChain.xml><?xml version="1.0" encoding="utf-8"?>
<calcChain xmlns="http://schemas.openxmlformats.org/spreadsheetml/2006/main">
  <c r="C304" i="8" l="1"/>
  <c r="D304" i="8"/>
  <c r="E304" i="8"/>
  <c r="F304" i="8"/>
  <c r="B304" i="8"/>
  <c r="G303" i="8"/>
  <c r="G302" i="8"/>
  <c r="C299" i="8"/>
  <c r="D299" i="8"/>
  <c r="E299" i="8"/>
  <c r="F299" i="8"/>
  <c r="B299" i="8"/>
  <c r="G299" i="8" s="1"/>
  <c r="C279" i="8"/>
  <c r="D279" i="8"/>
  <c r="E279" i="8"/>
  <c r="F279" i="8"/>
  <c r="B279" i="8"/>
  <c r="C284" i="8"/>
  <c r="D284" i="8"/>
  <c r="E284" i="8"/>
  <c r="F284" i="8"/>
  <c r="B284" i="8"/>
  <c r="C283" i="8"/>
  <c r="D283" i="8"/>
  <c r="E283" i="8"/>
  <c r="F283" i="8"/>
  <c r="B283" i="8"/>
  <c r="C282" i="8"/>
  <c r="D282" i="8"/>
  <c r="E282" i="8"/>
  <c r="F282" i="8"/>
  <c r="B282" i="8"/>
  <c r="C281" i="8"/>
  <c r="D281" i="8"/>
  <c r="E281" i="8"/>
  <c r="F281" i="8"/>
  <c r="B281" i="8"/>
  <c r="C280" i="8"/>
  <c r="D280" i="8"/>
  <c r="E280" i="8"/>
  <c r="F280" i="8"/>
  <c r="B280" i="8"/>
  <c r="C276" i="8"/>
  <c r="D276" i="8"/>
  <c r="D278" i="8" s="1"/>
  <c r="E276" i="8"/>
  <c r="F276" i="8"/>
  <c r="F278" i="8" s="1"/>
  <c r="B276" i="8"/>
  <c r="G301" i="8"/>
  <c r="G294" i="8"/>
  <c r="E278" i="8"/>
  <c r="C278" i="8"/>
  <c r="B278" i="8"/>
  <c r="F269" i="8"/>
  <c r="E269" i="8"/>
  <c r="D269" i="8"/>
  <c r="C269" i="8"/>
  <c r="B269" i="8"/>
  <c r="F265" i="8"/>
  <c r="F300" i="8" s="1"/>
  <c r="E265" i="8"/>
  <c r="E287" i="8" s="1"/>
  <c r="D265" i="8"/>
  <c r="D300" i="8" s="1"/>
  <c r="C265" i="8"/>
  <c r="C287" i="8" s="1"/>
  <c r="B265" i="8"/>
  <c r="B300" i="8" s="1"/>
  <c r="G264" i="8"/>
  <c r="E300" i="8" l="1"/>
  <c r="C300" i="8"/>
  <c r="E267" i="8"/>
  <c r="E268" i="8" s="1"/>
  <c r="E288" i="8" s="1"/>
  <c r="G269" i="8"/>
  <c r="C267" i="8"/>
  <c r="C268" i="8" s="1"/>
  <c r="C288" i="8" s="1"/>
  <c r="E270" i="8"/>
  <c r="E292" i="8" s="1"/>
  <c r="G265" i="8"/>
  <c r="B267" i="8"/>
  <c r="B268" i="8" s="1"/>
  <c r="B288" i="8" s="1"/>
  <c r="D267" i="8"/>
  <c r="F267" i="8"/>
  <c r="B287" i="8"/>
  <c r="D287" i="8"/>
  <c r="F287" i="8"/>
  <c r="F273" i="8" l="1"/>
  <c r="F293" i="8" s="1"/>
  <c r="F268" i="8"/>
  <c r="F288" i="8" s="1"/>
  <c r="D273" i="8"/>
  <c r="D293" i="8" s="1"/>
  <c r="D268" i="8"/>
  <c r="D288" i="8" s="1"/>
  <c r="G288" i="8" s="1"/>
  <c r="G263" i="8"/>
  <c r="G300" i="8"/>
  <c r="B273" i="8"/>
  <c r="B293" i="8" s="1"/>
  <c r="B270" i="8"/>
  <c r="B292" i="8" s="1"/>
  <c r="E290" i="8"/>
  <c r="E271" i="8"/>
  <c r="E289" i="8" s="1"/>
  <c r="E297" i="8" s="1"/>
  <c r="E272" i="8"/>
  <c r="E291" i="8" s="1"/>
  <c r="E273" i="8"/>
  <c r="E293" i="8" s="1"/>
  <c r="C273" i="8"/>
  <c r="C293" i="8" s="1"/>
  <c r="C270" i="8"/>
  <c r="C292" i="8" s="1"/>
  <c r="G287" i="8"/>
  <c r="D270" i="8"/>
  <c r="D292" i="8" s="1"/>
  <c r="F270" i="8"/>
  <c r="F292" i="8" s="1"/>
  <c r="G267" i="8"/>
  <c r="E298" i="8" l="1"/>
  <c r="E305" i="8" s="1"/>
  <c r="G266" i="8"/>
  <c r="G268" i="8"/>
  <c r="F272" i="8"/>
  <c r="F291" i="8" s="1"/>
  <c r="F290" i="8"/>
  <c r="F271" i="8"/>
  <c r="D272" i="8"/>
  <c r="D291" i="8" s="1"/>
  <c r="D290" i="8"/>
  <c r="D271" i="8"/>
  <c r="D289" i="8" s="1"/>
  <c r="D297" i="8" s="1"/>
  <c r="C290" i="8"/>
  <c r="C271" i="8"/>
  <c r="C289" i="8" s="1"/>
  <c r="C297" i="8" s="1"/>
  <c r="C272" i="8"/>
  <c r="B290" i="8"/>
  <c r="B272" i="8"/>
  <c r="B291" i="8" s="1"/>
  <c r="B271" i="8"/>
  <c r="G270" i="8"/>
  <c r="F289" i="8"/>
  <c r="F297" i="8" s="1"/>
  <c r="E295" i="8"/>
  <c r="G273" i="8"/>
  <c r="G293" i="8"/>
  <c r="D298" i="8" l="1"/>
  <c r="B298" i="8"/>
  <c r="F298" i="8"/>
  <c r="F305" i="8" s="1"/>
  <c r="C291" i="8"/>
  <c r="C298" i="8" s="1"/>
  <c r="C305" i="8" s="1"/>
  <c r="E307" i="8"/>
  <c r="F295" i="8"/>
  <c r="G271" i="8"/>
  <c r="B289" i="8"/>
  <c r="B297" i="8" s="1"/>
  <c r="D305" i="8"/>
  <c r="D295" i="8"/>
  <c r="G272" i="8"/>
  <c r="E308" i="8" l="1"/>
  <c r="E309" i="8" s="1"/>
  <c r="G291" i="8"/>
  <c r="G292" i="8"/>
  <c r="D307" i="8"/>
  <c r="F307" i="8"/>
  <c r="C295" i="8"/>
  <c r="C307" i="8" s="1"/>
  <c r="G289" i="8"/>
  <c r="B295" i="8"/>
  <c r="G290" i="8"/>
  <c r="G297" i="8" l="1"/>
  <c r="H297" i="8" s="1"/>
  <c r="F309" i="8"/>
  <c r="F308" i="8"/>
  <c r="H292" i="8"/>
  <c r="C308" i="8"/>
  <c r="C309" i="8" s="1"/>
  <c r="D308" i="8"/>
  <c r="D309" i="8" s="1"/>
  <c r="G298" i="8"/>
  <c r="G295" i="8"/>
  <c r="B305" i="8"/>
  <c r="B307" i="8" s="1"/>
  <c r="B308" i="8" l="1"/>
  <c r="B309" i="8" s="1"/>
  <c r="G305" i="8"/>
  <c r="H305" i="8" s="1"/>
  <c r="H298" i="8"/>
  <c r="H304" i="8"/>
  <c r="H295" i="8"/>
  <c r="H294" i="8"/>
  <c r="H301" i="8"/>
  <c r="H303" i="8"/>
  <c r="H302" i="8"/>
  <c r="H299" i="8"/>
  <c r="H300" i="8"/>
  <c r="H287" i="8"/>
  <c r="H288" i="8"/>
  <c r="H293" i="8"/>
  <c r="H291" i="8"/>
  <c r="H289" i="8"/>
  <c r="H290" i="8"/>
  <c r="G307" i="8"/>
  <c r="H307" i="8" l="1"/>
  <c r="G309" i="8"/>
  <c r="H309" i="8" s="1"/>
  <c r="G308" i="8"/>
  <c r="H308" i="8" s="1"/>
  <c r="B253" i="8"/>
  <c r="B252" i="8"/>
  <c r="I214" i="8"/>
  <c r="J214" i="8" s="1"/>
  <c r="I215" i="8"/>
  <c r="J215" i="8" s="1"/>
  <c r="I217" i="8"/>
  <c r="J217" i="8" s="1"/>
  <c r="I218" i="8"/>
  <c r="J218" i="8" s="1"/>
  <c r="I220" i="8"/>
  <c r="J220" i="8" s="1"/>
  <c r="I221" i="8"/>
  <c r="J221" i="8" s="1"/>
  <c r="I223" i="8"/>
  <c r="J223" i="8" s="1"/>
  <c r="I225" i="8"/>
  <c r="J225" i="8" s="1"/>
  <c r="I226" i="8"/>
  <c r="J226" i="8" s="1"/>
  <c r="I227" i="8"/>
  <c r="J227" i="8" s="1"/>
  <c r="I228" i="8"/>
  <c r="J228" i="8" s="1"/>
  <c r="I229" i="8"/>
  <c r="J229" i="8" s="1"/>
  <c r="I230" i="8"/>
  <c r="J230" i="8" s="1"/>
  <c r="I233" i="8"/>
  <c r="J233" i="8" s="1"/>
  <c r="I234" i="8"/>
  <c r="J234" i="8" s="1"/>
  <c r="I235" i="8"/>
  <c r="J235" i="8" s="1"/>
  <c r="I236" i="8"/>
  <c r="J236" i="8" s="1"/>
  <c r="I237" i="8"/>
  <c r="J237" i="8" s="1"/>
  <c r="I238" i="8"/>
  <c r="J238" i="8" s="1"/>
  <c r="I240" i="8"/>
  <c r="J240" i="8" s="1"/>
  <c r="I241" i="8"/>
  <c r="J241" i="8" s="1"/>
  <c r="I242" i="8"/>
  <c r="J242" i="8" s="1"/>
  <c r="I213" i="8"/>
  <c r="J213" i="8" s="1"/>
  <c r="I204" i="8"/>
  <c r="I239" i="8" s="1"/>
  <c r="J239" i="8" s="1"/>
  <c r="I197" i="8"/>
  <c r="I232" i="8" s="1"/>
  <c r="J232" i="8" s="1"/>
  <c r="I196" i="8"/>
  <c r="I231" i="8" s="1"/>
  <c r="J231" i="8" s="1"/>
  <c r="I189" i="8"/>
  <c r="I224" i="8" s="1"/>
  <c r="J224" i="8" s="1"/>
  <c r="I187" i="8"/>
  <c r="I222" i="8" s="1"/>
  <c r="J222" i="8" s="1"/>
  <c r="I184" i="8"/>
  <c r="I219" i="8" s="1"/>
  <c r="J219" i="8" s="1"/>
  <c r="I181" i="8"/>
  <c r="I216" i="8" s="1"/>
  <c r="J216" i="8" s="1"/>
  <c r="H181" i="8"/>
  <c r="G216" i="8" s="1"/>
  <c r="H182" i="8"/>
  <c r="G217" i="8" s="1"/>
  <c r="H183" i="8"/>
  <c r="G218" i="8" s="1"/>
  <c r="H184" i="8"/>
  <c r="H187" i="8"/>
  <c r="G222" i="8" s="1"/>
  <c r="H188" i="8"/>
  <c r="J188" i="8" s="1"/>
  <c r="H189" i="8"/>
  <c r="G224" i="8" s="1"/>
  <c r="H190" i="8"/>
  <c r="J190" i="8" s="1"/>
  <c r="H195" i="8"/>
  <c r="J195" i="8" s="1"/>
  <c r="H196" i="8"/>
  <c r="G231" i="8" s="1"/>
  <c r="H197" i="8"/>
  <c r="H198" i="8"/>
  <c r="G233" i="8" s="1"/>
  <c r="H201" i="8"/>
  <c r="G236" i="8" s="1"/>
  <c r="H202" i="8"/>
  <c r="H203" i="8"/>
  <c r="J203" i="8" s="1"/>
  <c r="H204" i="8"/>
  <c r="G239" i="8" s="1"/>
  <c r="H205" i="8"/>
  <c r="H180" i="8"/>
  <c r="G215" i="8" s="1"/>
  <c r="G242" i="8"/>
  <c r="G241" i="8"/>
  <c r="G235" i="8"/>
  <c r="G234" i="8"/>
  <c r="G229" i="8"/>
  <c r="G228" i="8"/>
  <c r="G227" i="8"/>
  <c r="G226" i="8"/>
  <c r="G221" i="8"/>
  <c r="G220" i="8"/>
  <c r="G214" i="8"/>
  <c r="K214" i="8" s="1"/>
  <c r="L214" i="8" s="1"/>
  <c r="G213" i="8"/>
  <c r="C207" i="8"/>
  <c r="K207" i="8" s="1"/>
  <c r="N207" i="8" s="1"/>
  <c r="P207" i="8" s="1"/>
  <c r="O242" i="8" s="1"/>
  <c r="P242" i="8" s="1"/>
  <c r="C206" i="8"/>
  <c r="D207" i="8" s="1"/>
  <c r="G240" i="8"/>
  <c r="C205" i="8"/>
  <c r="D206" i="8" s="1"/>
  <c r="E206" i="8" s="1"/>
  <c r="C204" i="8"/>
  <c r="D205" i="8" s="1"/>
  <c r="C203" i="8"/>
  <c r="D204" i="8" s="1"/>
  <c r="E204" i="8" s="1"/>
  <c r="G237" i="8"/>
  <c r="C202" i="8"/>
  <c r="D203" i="8" s="1"/>
  <c r="C201" i="8"/>
  <c r="D202" i="8" s="1"/>
  <c r="E202" i="8" s="1"/>
  <c r="C200" i="8"/>
  <c r="D201" i="8" s="1"/>
  <c r="C199" i="8"/>
  <c r="D200" i="8" s="1"/>
  <c r="C198" i="8"/>
  <c r="K198" i="8" s="1"/>
  <c r="N198" i="8" s="1"/>
  <c r="P198" i="8" s="1"/>
  <c r="O233" i="8" s="1"/>
  <c r="P233" i="8" s="1"/>
  <c r="G232" i="8"/>
  <c r="C197" i="8"/>
  <c r="D198" i="8" s="1"/>
  <c r="E198" i="8" s="1"/>
  <c r="C196" i="8"/>
  <c r="D197" i="8" s="1"/>
  <c r="C195" i="8"/>
  <c r="D196" i="8" s="1"/>
  <c r="E196" i="8" s="1"/>
  <c r="C194" i="8"/>
  <c r="K194" i="8" s="1"/>
  <c r="N194" i="8" s="1"/>
  <c r="P194" i="8" s="1"/>
  <c r="O229" i="8" s="1"/>
  <c r="P229" i="8" s="1"/>
  <c r="C193" i="8"/>
  <c r="D194" i="8" s="1"/>
  <c r="E194" i="8" s="1"/>
  <c r="D192" i="8"/>
  <c r="E192" i="8" s="1"/>
  <c r="C227" i="8" s="1"/>
  <c r="E227" i="8" s="1"/>
  <c r="F227" i="8" s="1"/>
  <c r="C192" i="8"/>
  <c r="D193" i="8" s="1"/>
  <c r="N191" i="8"/>
  <c r="D191" i="8"/>
  <c r="E191" i="8" s="1"/>
  <c r="C226" i="8" s="1"/>
  <c r="E226" i="8" s="1"/>
  <c r="F226" i="8" s="1"/>
  <c r="N190" i="8"/>
  <c r="P190" i="8" s="1"/>
  <c r="O225" i="8" s="1"/>
  <c r="P225" i="8" s="1"/>
  <c r="G225" i="8"/>
  <c r="C189" i="8"/>
  <c r="D190" i="8" s="1"/>
  <c r="G223" i="8"/>
  <c r="C188" i="8"/>
  <c r="K188" i="8" s="1"/>
  <c r="N188" i="8" s="1"/>
  <c r="P188" i="8" s="1"/>
  <c r="O223" i="8" s="1"/>
  <c r="P223" i="8" s="1"/>
  <c r="C187" i="8"/>
  <c r="D188" i="8" s="1"/>
  <c r="E188" i="8" s="1"/>
  <c r="C186" i="8"/>
  <c r="D187" i="8" s="1"/>
  <c r="C185" i="8"/>
  <c r="K185" i="8" s="1"/>
  <c r="N185" i="8" s="1"/>
  <c r="P185" i="8" s="1"/>
  <c r="O220" i="8" s="1"/>
  <c r="P220" i="8" s="1"/>
  <c r="G219" i="8"/>
  <c r="C184" i="8"/>
  <c r="D185" i="8" s="1"/>
  <c r="C183" i="8"/>
  <c r="D184" i="8" s="1"/>
  <c r="E184" i="8" s="1"/>
  <c r="J182" i="8"/>
  <c r="C182" i="8"/>
  <c r="K182" i="8" s="1"/>
  <c r="N182" i="8" s="1"/>
  <c r="P182" i="8" s="1"/>
  <c r="O217" i="8" s="1"/>
  <c r="P217" i="8" s="1"/>
  <c r="C181" i="8"/>
  <c r="D182" i="8" s="1"/>
  <c r="E182" i="8" s="1"/>
  <c r="C180" i="8"/>
  <c r="D181" i="8" s="1"/>
  <c r="C179" i="8"/>
  <c r="K179" i="8" s="1"/>
  <c r="N179" i="8" s="1"/>
  <c r="P179" i="8" s="1"/>
  <c r="O214" i="8" s="1"/>
  <c r="P214" i="8" s="1"/>
  <c r="C178" i="8"/>
  <c r="D179" i="8" s="1"/>
  <c r="C177" i="8"/>
  <c r="D178" i="8" s="1"/>
  <c r="E178" i="8" s="1"/>
  <c r="G230" i="8" l="1"/>
  <c r="J201" i="8"/>
  <c r="G238" i="8"/>
  <c r="K213" i="8"/>
  <c r="L213" i="8" s="1"/>
  <c r="K220" i="8"/>
  <c r="L220" i="8" s="1"/>
  <c r="K228" i="8"/>
  <c r="L228" i="8" s="1"/>
  <c r="K234" i="8"/>
  <c r="L234" i="8" s="1"/>
  <c r="K241" i="8"/>
  <c r="L241" i="8" s="1"/>
  <c r="K227" i="8"/>
  <c r="L227" i="8" s="1"/>
  <c r="K229" i="8"/>
  <c r="L229" i="8" s="1"/>
  <c r="K235" i="8"/>
  <c r="L235" i="8" s="1"/>
  <c r="H235" i="8"/>
  <c r="H241" i="8"/>
  <c r="H218" i="8"/>
  <c r="K218" i="8"/>
  <c r="L218" i="8" s="1"/>
  <c r="K186" i="8"/>
  <c r="N186" i="8" s="1"/>
  <c r="H222" i="8"/>
  <c r="K222" i="8"/>
  <c r="L222" i="8" s="1"/>
  <c r="H223" i="8"/>
  <c r="K223" i="8"/>
  <c r="L223" i="8" s="1"/>
  <c r="H225" i="8"/>
  <c r="K225" i="8"/>
  <c r="L225" i="8" s="1"/>
  <c r="P191" i="8"/>
  <c r="O226" i="8" s="1"/>
  <c r="P226" i="8" s="1"/>
  <c r="O191" i="8"/>
  <c r="M226" i="8" s="1"/>
  <c r="H230" i="8"/>
  <c r="K230" i="8"/>
  <c r="L230" i="8" s="1"/>
  <c r="K200" i="8"/>
  <c r="N200" i="8" s="1"/>
  <c r="H236" i="8"/>
  <c r="K236" i="8"/>
  <c r="L236" i="8" s="1"/>
  <c r="K202" i="8"/>
  <c r="N202" i="8" s="1"/>
  <c r="H238" i="8"/>
  <c r="K238" i="8"/>
  <c r="L238" i="8" s="1"/>
  <c r="K205" i="8"/>
  <c r="N205" i="8" s="1"/>
  <c r="H213" i="8"/>
  <c r="H214" i="8"/>
  <c r="H220" i="8"/>
  <c r="H227" i="8"/>
  <c r="H228" i="8"/>
  <c r="H229" i="8"/>
  <c r="H234" i="8"/>
  <c r="E200" i="8"/>
  <c r="C235" i="8" s="1"/>
  <c r="E190" i="8"/>
  <c r="C225" i="8" s="1"/>
  <c r="O207" i="8"/>
  <c r="M242" i="8" s="1"/>
  <c r="O190" i="8"/>
  <c r="M225" i="8" s="1"/>
  <c r="O188" i="8"/>
  <c r="M223" i="8" s="1"/>
  <c r="O182" i="8"/>
  <c r="M217" i="8" s="1"/>
  <c r="H215" i="8"/>
  <c r="K215" i="8"/>
  <c r="L215" i="8" s="1"/>
  <c r="K178" i="8"/>
  <c r="N178" i="8" s="1"/>
  <c r="K180" i="8"/>
  <c r="N180" i="8" s="1"/>
  <c r="H216" i="8"/>
  <c r="K216" i="8"/>
  <c r="L216" i="8" s="1"/>
  <c r="H217" i="8"/>
  <c r="K217" i="8"/>
  <c r="L217" i="8" s="1"/>
  <c r="K183" i="8"/>
  <c r="N183" i="8" s="1"/>
  <c r="H219" i="8"/>
  <c r="K219" i="8"/>
  <c r="L219" i="8" s="1"/>
  <c r="C223" i="8"/>
  <c r="D223" i="8" s="1"/>
  <c r="H224" i="8"/>
  <c r="K224" i="8"/>
  <c r="L224" i="8" s="1"/>
  <c r="H231" i="8"/>
  <c r="K231" i="8"/>
  <c r="L231" i="8" s="1"/>
  <c r="H232" i="8"/>
  <c r="K232" i="8"/>
  <c r="L232" i="8" s="1"/>
  <c r="H233" i="8"/>
  <c r="K233" i="8"/>
  <c r="L233" i="8" s="1"/>
  <c r="H237" i="8"/>
  <c r="K237" i="8"/>
  <c r="L237" i="8" s="1"/>
  <c r="H239" i="8"/>
  <c r="K239" i="8"/>
  <c r="L239" i="8" s="1"/>
  <c r="H240" i="8"/>
  <c r="K240" i="8"/>
  <c r="L240" i="8" s="1"/>
  <c r="H221" i="8"/>
  <c r="K221" i="8"/>
  <c r="L221" i="8" s="1"/>
  <c r="H226" i="8"/>
  <c r="K226" i="8"/>
  <c r="L226" i="8" s="1"/>
  <c r="H242" i="8"/>
  <c r="K242" i="8"/>
  <c r="L242" i="8" s="1"/>
  <c r="E207" i="8"/>
  <c r="C242" i="8" s="1"/>
  <c r="E205" i="8"/>
  <c r="C240" i="8" s="1"/>
  <c r="E203" i="8"/>
  <c r="C238" i="8" s="1"/>
  <c r="E201" i="8"/>
  <c r="C236" i="8" s="1"/>
  <c r="E197" i="8"/>
  <c r="C232" i="8" s="1"/>
  <c r="E193" i="8"/>
  <c r="C228" i="8" s="1"/>
  <c r="E187" i="8"/>
  <c r="C222" i="8" s="1"/>
  <c r="E185" i="8"/>
  <c r="C220" i="8" s="1"/>
  <c r="E181" i="8"/>
  <c r="C216" i="8" s="1"/>
  <c r="E179" i="8"/>
  <c r="C214" i="8" s="1"/>
  <c r="O198" i="8"/>
  <c r="M233" i="8" s="1"/>
  <c r="O194" i="8"/>
  <c r="M229" i="8" s="1"/>
  <c r="O185" i="8"/>
  <c r="M220" i="8" s="1"/>
  <c r="O179" i="8"/>
  <c r="M214" i="8" s="1"/>
  <c r="I243" i="8"/>
  <c r="J243" i="8" s="1"/>
  <c r="C217" i="8"/>
  <c r="E217" i="8" s="1"/>
  <c r="F217" i="8" s="1"/>
  <c r="C219" i="8"/>
  <c r="D219" i="8" s="1"/>
  <c r="C229" i="8"/>
  <c r="E229" i="8" s="1"/>
  <c r="F229" i="8" s="1"/>
  <c r="C231" i="8"/>
  <c r="E231" i="8" s="1"/>
  <c r="F231" i="8" s="1"/>
  <c r="C233" i="8"/>
  <c r="D233" i="8" s="1"/>
  <c r="C237" i="8"/>
  <c r="E237" i="8" s="1"/>
  <c r="F237" i="8" s="1"/>
  <c r="C239" i="8"/>
  <c r="E239" i="8" s="1"/>
  <c r="F239" i="8" s="1"/>
  <c r="C241" i="8"/>
  <c r="E241" i="8" s="1"/>
  <c r="F241" i="8" s="1"/>
  <c r="D226" i="8"/>
  <c r="D227" i="8"/>
  <c r="E223" i="8"/>
  <c r="F223" i="8" s="1"/>
  <c r="C213" i="8"/>
  <c r="D180" i="8"/>
  <c r="K181" i="8"/>
  <c r="N181" i="8" s="1"/>
  <c r="D183" i="8"/>
  <c r="K184" i="8"/>
  <c r="N184" i="8" s="1"/>
  <c r="D186" i="8"/>
  <c r="K187" i="8"/>
  <c r="N187" i="8" s="1"/>
  <c r="D189" i="8"/>
  <c r="J189" i="8"/>
  <c r="K192" i="8"/>
  <c r="N192" i="8" s="1"/>
  <c r="J180" i="8"/>
  <c r="J181" i="8"/>
  <c r="J183" i="8"/>
  <c r="J184" i="8"/>
  <c r="J187" i="8"/>
  <c r="K189" i="8"/>
  <c r="N189" i="8" s="1"/>
  <c r="E233" i="8"/>
  <c r="F233" i="8" s="1"/>
  <c r="K193" i="8"/>
  <c r="N193" i="8" s="1"/>
  <c r="D195" i="8"/>
  <c r="K195" i="8"/>
  <c r="N195" i="8" s="1"/>
  <c r="K196" i="8"/>
  <c r="N196" i="8" s="1"/>
  <c r="K197" i="8"/>
  <c r="N197" i="8" s="1"/>
  <c r="J198" i="8"/>
  <c r="D199" i="8"/>
  <c r="K199" i="8"/>
  <c r="N199" i="8" s="1"/>
  <c r="K201" i="8"/>
  <c r="N201" i="8" s="1"/>
  <c r="J202" i="8"/>
  <c r="K203" i="8"/>
  <c r="N203" i="8" s="1"/>
  <c r="K204" i="8"/>
  <c r="N204" i="8" s="1"/>
  <c r="J205" i="8"/>
  <c r="K206" i="8"/>
  <c r="N206" i="8" s="1"/>
  <c r="J196" i="8"/>
  <c r="J197" i="8"/>
  <c r="J204" i="8"/>
  <c r="G243" i="8"/>
  <c r="I155" i="8"/>
  <c r="G155" i="8"/>
  <c r="G158" i="8" s="1"/>
  <c r="F155" i="8"/>
  <c r="F157" i="8" s="1"/>
  <c r="E155" i="8"/>
  <c r="D155" i="8"/>
  <c r="D157" i="8" s="1"/>
  <c r="C155" i="8"/>
  <c r="C158" i="8" s="1"/>
  <c r="B155" i="8"/>
  <c r="I150" i="8"/>
  <c r="H150" i="8"/>
  <c r="F150" i="8"/>
  <c r="E150" i="8"/>
  <c r="B149" i="8"/>
  <c r="C149" i="8" s="1"/>
  <c r="G149" i="8" s="1"/>
  <c r="B148" i="8"/>
  <c r="C148" i="8" s="1"/>
  <c r="D149" i="8" s="1"/>
  <c r="B147" i="8"/>
  <c r="C147" i="8" s="1"/>
  <c r="B146" i="8"/>
  <c r="C146" i="8" s="1"/>
  <c r="D147" i="8" s="1"/>
  <c r="B145" i="8"/>
  <c r="C145" i="8" s="1"/>
  <c r="B144" i="8"/>
  <c r="C144" i="8" s="1"/>
  <c r="D145" i="8" s="1"/>
  <c r="B143" i="8"/>
  <c r="B142" i="8"/>
  <c r="C142" i="8" s="1"/>
  <c r="D143" i="8" s="1"/>
  <c r="D125" i="8"/>
  <c r="D126" i="8"/>
  <c r="D127" i="8"/>
  <c r="D128" i="8"/>
  <c r="D129" i="8"/>
  <c r="D130" i="8"/>
  <c r="D124" i="8"/>
  <c r="C125" i="8"/>
  <c r="C126" i="8"/>
  <c r="C127" i="8"/>
  <c r="C128" i="8"/>
  <c r="C129" i="8"/>
  <c r="C130" i="8"/>
  <c r="C124" i="8"/>
  <c r="H118" i="8"/>
  <c r="G118" i="8"/>
  <c r="E118" i="8"/>
  <c r="D118" i="8"/>
  <c r="B116" i="8"/>
  <c r="F116" i="8" s="1"/>
  <c r="I116" i="8" s="1"/>
  <c r="F129" i="8" s="1"/>
  <c r="B115" i="8"/>
  <c r="F115" i="8" s="1"/>
  <c r="I115" i="8" s="1"/>
  <c r="E128" i="8" s="1"/>
  <c r="B114" i="8"/>
  <c r="F114" i="8" s="1"/>
  <c r="I114" i="8" s="1"/>
  <c r="F127" i="8" s="1"/>
  <c r="B113" i="8"/>
  <c r="F113" i="8" s="1"/>
  <c r="I113" i="8" s="1"/>
  <c r="E126" i="8" s="1"/>
  <c r="B112" i="8"/>
  <c r="F112" i="8" s="1"/>
  <c r="I112" i="8" s="1"/>
  <c r="F125" i="8" s="1"/>
  <c r="B111" i="8"/>
  <c r="F111" i="8" s="1"/>
  <c r="B110" i="8"/>
  <c r="B117" i="8" s="1"/>
  <c r="F117" i="8" s="1"/>
  <c r="I117" i="8" s="1"/>
  <c r="E130" i="8" s="1"/>
  <c r="G101" i="8"/>
  <c r="F89" i="8"/>
  <c r="E89" i="8"/>
  <c r="D89" i="8"/>
  <c r="C89" i="8"/>
  <c r="B89" i="8"/>
  <c r="F88" i="8"/>
  <c r="E88" i="8"/>
  <c r="D88" i="8"/>
  <c r="C88" i="8"/>
  <c r="B88" i="8"/>
  <c r="F87" i="8"/>
  <c r="E87" i="8"/>
  <c r="D87" i="8"/>
  <c r="C87" i="8"/>
  <c r="B87" i="8"/>
  <c r="F84" i="8"/>
  <c r="F92" i="8" s="1"/>
  <c r="E84" i="8"/>
  <c r="E86" i="8" s="1"/>
  <c r="E91" i="8" s="1"/>
  <c r="D84" i="8"/>
  <c r="D92" i="8" s="1"/>
  <c r="C84" i="8"/>
  <c r="C86" i="8" s="1"/>
  <c r="C91" i="8" s="1"/>
  <c r="B84" i="8"/>
  <c r="B92" i="8" s="1"/>
  <c r="G82" i="8"/>
  <c r="D239" i="8" l="1"/>
  <c r="D229" i="8"/>
  <c r="D241" i="8"/>
  <c r="D237" i="8"/>
  <c r="D231" i="8"/>
  <c r="B150" i="8"/>
  <c r="D217" i="8"/>
  <c r="D131" i="8"/>
  <c r="D133" i="8" s="1"/>
  <c r="E219" i="8"/>
  <c r="F219" i="8" s="1"/>
  <c r="D216" i="8"/>
  <c r="E216" i="8"/>
  <c r="F216" i="8" s="1"/>
  <c r="D222" i="8"/>
  <c r="E222" i="8"/>
  <c r="F222" i="8" s="1"/>
  <c r="E232" i="8"/>
  <c r="F232" i="8" s="1"/>
  <c r="D232" i="8"/>
  <c r="E238" i="8"/>
  <c r="F238" i="8" s="1"/>
  <c r="D238" i="8"/>
  <c r="E242" i="8"/>
  <c r="F242" i="8" s="1"/>
  <c r="D242" i="8"/>
  <c r="E235" i="8"/>
  <c r="F235" i="8" s="1"/>
  <c r="D235" i="8"/>
  <c r="E214" i="8"/>
  <c r="F214" i="8" s="1"/>
  <c r="D214" i="8"/>
  <c r="D220" i="8"/>
  <c r="E220" i="8"/>
  <c r="F220" i="8" s="1"/>
  <c r="D228" i="8"/>
  <c r="E228" i="8"/>
  <c r="F228" i="8" s="1"/>
  <c r="D236" i="8"/>
  <c r="E236" i="8"/>
  <c r="F236" i="8" s="1"/>
  <c r="E240" i="8"/>
  <c r="F240" i="8" s="1"/>
  <c r="D240" i="8"/>
  <c r="D225" i="8"/>
  <c r="E225" i="8"/>
  <c r="F225" i="8" s="1"/>
  <c r="B162" i="8"/>
  <c r="B160" i="8"/>
  <c r="B158" i="8"/>
  <c r="C156" i="8"/>
  <c r="C161" i="8"/>
  <c r="C159" i="8"/>
  <c r="C157" i="8"/>
  <c r="D162" i="8"/>
  <c r="D160" i="8"/>
  <c r="D158" i="8"/>
  <c r="F162" i="8"/>
  <c r="F160" i="8"/>
  <c r="F158" i="8"/>
  <c r="G156" i="8"/>
  <c r="G161" i="8"/>
  <c r="G159" i="8"/>
  <c r="G157" i="8"/>
  <c r="P203" i="8"/>
  <c r="O238" i="8" s="1"/>
  <c r="P238" i="8" s="1"/>
  <c r="O203" i="8"/>
  <c r="M238" i="8" s="1"/>
  <c r="P201" i="8"/>
  <c r="O236" i="8" s="1"/>
  <c r="P236" i="8" s="1"/>
  <c r="O201" i="8"/>
  <c r="M236" i="8" s="1"/>
  <c r="E199" i="8"/>
  <c r="C234" i="8" s="1"/>
  <c r="P197" i="8"/>
  <c r="O232" i="8" s="1"/>
  <c r="P232" i="8" s="1"/>
  <c r="O197" i="8"/>
  <c r="M232" i="8" s="1"/>
  <c r="P195" i="8"/>
  <c r="O230" i="8" s="1"/>
  <c r="P230" i="8" s="1"/>
  <c r="O195" i="8"/>
  <c r="M230" i="8" s="1"/>
  <c r="P193" i="8"/>
  <c r="O228" i="8" s="1"/>
  <c r="P228" i="8" s="1"/>
  <c r="O193" i="8"/>
  <c r="M228" i="8" s="1"/>
  <c r="P189" i="8"/>
  <c r="O224" i="8" s="1"/>
  <c r="P224" i="8" s="1"/>
  <c r="O189" i="8"/>
  <c r="M224" i="8" s="1"/>
  <c r="P192" i="8"/>
  <c r="O227" i="8" s="1"/>
  <c r="P227" i="8" s="1"/>
  <c r="O192" i="8"/>
  <c r="M227" i="8" s="1"/>
  <c r="E189" i="8"/>
  <c r="C224" i="8" s="1"/>
  <c r="E186" i="8"/>
  <c r="C221" i="8" s="1"/>
  <c r="E183" i="8"/>
  <c r="C218" i="8" s="1"/>
  <c r="E180" i="8"/>
  <c r="C215" i="8" s="1"/>
  <c r="Q220" i="8"/>
  <c r="R220" i="8" s="1"/>
  <c r="N220" i="8"/>
  <c r="N233" i="8"/>
  <c r="Q233" i="8"/>
  <c r="R233" i="8" s="1"/>
  <c r="P183" i="8"/>
  <c r="O218" i="8" s="1"/>
  <c r="P218" i="8" s="1"/>
  <c r="O183" i="8"/>
  <c r="M218" i="8" s="1"/>
  <c r="N223" i="8"/>
  <c r="Q223" i="8"/>
  <c r="R223" i="8" s="1"/>
  <c r="Q242" i="8"/>
  <c r="R242" i="8" s="1"/>
  <c r="N242" i="8"/>
  <c r="P205" i="8"/>
  <c r="O240" i="8" s="1"/>
  <c r="P240" i="8" s="1"/>
  <c r="O205" i="8"/>
  <c r="M240" i="8" s="1"/>
  <c r="P202" i="8"/>
  <c r="O237" i="8" s="1"/>
  <c r="P237" i="8" s="1"/>
  <c r="O202" i="8"/>
  <c r="M237" i="8" s="1"/>
  <c r="P200" i="8"/>
  <c r="O235" i="8" s="1"/>
  <c r="P235" i="8" s="1"/>
  <c r="O200" i="8"/>
  <c r="M235" i="8" s="1"/>
  <c r="P186" i="8"/>
  <c r="O221" i="8" s="1"/>
  <c r="P221" i="8" s="1"/>
  <c r="O186" i="8"/>
  <c r="M221" i="8" s="1"/>
  <c r="B156" i="8"/>
  <c r="C162" i="8"/>
  <c r="C160" i="8"/>
  <c r="D156" i="8"/>
  <c r="D161" i="8"/>
  <c r="D159" i="8"/>
  <c r="E162" i="8"/>
  <c r="F156" i="8"/>
  <c r="F161" i="8"/>
  <c r="F159" i="8"/>
  <c r="G162" i="8"/>
  <c r="G160" i="8"/>
  <c r="H243" i="8"/>
  <c r="K243" i="8"/>
  <c r="L243" i="8" s="1"/>
  <c r="P206" i="8"/>
  <c r="O241" i="8" s="1"/>
  <c r="P241" i="8" s="1"/>
  <c r="O206" i="8"/>
  <c r="M241" i="8" s="1"/>
  <c r="O204" i="8"/>
  <c r="M239" i="8" s="1"/>
  <c r="P204" i="8"/>
  <c r="O239" i="8" s="1"/>
  <c r="P239" i="8" s="1"/>
  <c r="P199" i="8"/>
  <c r="O234" i="8" s="1"/>
  <c r="P234" i="8" s="1"/>
  <c r="O199" i="8"/>
  <c r="M234" i="8" s="1"/>
  <c r="P196" i="8"/>
  <c r="O231" i="8" s="1"/>
  <c r="P231" i="8" s="1"/>
  <c r="O196" i="8"/>
  <c r="M231" i="8" s="1"/>
  <c r="E195" i="8"/>
  <c r="C230" i="8" s="1"/>
  <c r="P187" i="8"/>
  <c r="O222" i="8" s="1"/>
  <c r="P222" i="8" s="1"/>
  <c r="O187" i="8"/>
  <c r="M222" i="8" s="1"/>
  <c r="P184" i="8"/>
  <c r="O219" i="8" s="1"/>
  <c r="P219" i="8" s="1"/>
  <c r="O184" i="8"/>
  <c r="M219" i="8" s="1"/>
  <c r="P181" i="8"/>
  <c r="O216" i="8" s="1"/>
  <c r="P216" i="8" s="1"/>
  <c r="O181" i="8"/>
  <c r="M216" i="8" s="1"/>
  <c r="Q214" i="8"/>
  <c r="R214" i="8" s="1"/>
  <c r="N214" i="8"/>
  <c r="N229" i="8"/>
  <c r="Q229" i="8"/>
  <c r="R229" i="8" s="1"/>
  <c r="P180" i="8"/>
  <c r="O215" i="8" s="1"/>
  <c r="P215" i="8" s="1"/>
  <c r="O180" i="8"/>
  <c r="M215" i="8" s="1"/>
  <c r="O178" i="8"/>
  <c r="M213" i="8" s="1"/>
  <c r="P178" i="8"/>
  <c r="O213" i="8" s="1"/>
  <c r="N217" i="8"/>
  <c r="Q217" i="8"/>
  <c r="R217" i="8" s="1"/>
  <c r="N225" i="8"/>
  <c r="Q225" i="8"/>
  <c r="R225" i="8" s="1"/>
  <c r="Q226" i="8"/>
  <c r="R226" i="8" s="1"/>
  <c r="N226" i="8"/>
  <c r="J208" i="8"/>
  <c r="E213" i="8"/>
  <c r="F213" i="8" s="1"/>
  <c r="D213" i="8"/>
  <c r="D146" i="8"/>
  <c r="B159" i="8" s="1"/>
  <c r="G145" i="8"/>
  <c r="E158" i="8" s="1"/>
  <c r="H162" i="8"/>
  <c r="J149" i="8"/>
  <c r="I162" i="8" s="1"/>
  <c r="D148" i="8"/>
  <c r="B161" i="8" s="1"/>
  <c r="G147" i="8"/>
  <c r="E160" i="8" s="1"/>
  <c r="C143" i="8"/>
  <c r="G144" i="8"/>
  <c r="E157" i="8" s="1"/>
  <c r="G146" i="8"/>
  <c r="E159" i="8" s="1"/>
  <c r="G148" i="8"/>
  <c r="E161" i="8" s="1"/>
  <c r="C131" i="8"/>
  <c r="C133" i="8" s="1"/>
  <c r="E129" i="8"/>
  <c r="E127" i="8"/>
  <c r="E125" i="8"/>
  <c r="F130" i="8"/>
  <c r="F128" i="8"/>
  <c r="F126" i="8"/>
  <c r="F118" i="8"/>
  <c r="I111" i="8"/>
  <c r="C111" i="8"/>
  <c r="B124" i="8" s="1"/>
  <c r="C112" i="8"/>
  <c r="C113" i="8"/>
  <c r="C114" i="8"/>
  <c r="C115" i="8"/>
  <c r="C116" i="8"/>
  <c r="C117" i="8"/>
  <c r="B85" i="8"/>
  <c r="D85" i="8"/>
  <c r="D90" i="8" s="1"/>
  <c r="F85" i="8"/>
  <c r="F90" i="8" s="1"/>
  <c r="B86" i="8"/>
  <c r="D86" i="8"/>
  <c r="D91" i="8" s="1"/>
  <c r="F86" i="8"/>
  <c r="F91" i="8" s="1"/>
  <c r="C92" i="8"/>
  <c r="E92" i="8"/>
  <c r="G84" i="8"/>
  <c r="C85" i="8"/>
  <c r="C90" i="8" s="1"/>
  <c r="E85" i="8"/>
  <c r="E90" i="8" s="1"/>
  <c r="B138" i="5"/>
  <c r="O208" i="8" l="1"/>
  <c r="P208" i="8"/>
  <c r="E208" i="8"/>
  <c r="C243" i="8" s="1"/>
  <c r="E243" i="8" s="1"/>
  <c r="D215" i="8"/>
  <c r="E215" i="8"/>
  <c r="F215" i="8" s="1"/>
  <c r="D221" i="8"/>
  <c r="E221" i="8"/>
  <c r="F221" i="8" s="1"/>
  <c r="E230" i="8"/>
  <c r="F230" i="8" s="1"/>
  <c r="D230" i="8"/>
  <c r="D218" i="8"/>
  <c r="E218" i="8"/>
  <c r="F218" i="8" s="1"/>
  <c r="D224" i="8"/>
  <c r="E224" i="8"/>
  <c r="F224" i="8" s="1"/>
  <c r="D234" i="8"/>
  <c r="E234" i="8"/>
  <c r="F234" i="8" s="1"/>
  <c r="Q213" i="8"/>
  <c r="R213" i="8" s="1"/>
  <c r="N213" i="8"/>
  <c r="M243" i="8"/>
  <c r="N239" i="8"/>
  <c r="Q239" i="8"/>
  <c r="R239" i="8" s="1"/>
  <c r="F163" i="8"/>
  <c r="G92" i="8"/>
  <c r="P213" i="8"/>
  <c r="P243" i="8" s="1"/>
  <c r="O243" i="8"/>
  <c r="N215" i="8"/>
  <c r="Q215" i="8"/>
  <c r="R215" i="8" s="1"/>
  <c r="Q216" i="8"/>
  <c r="R216" i="8" s="1"/>
  <c r="N216" i="8"/>
  <c r="N219" i="8"/>
  <c r="Q219" i="8"/>
  <c r="R219" i="8" s="1"/>
  <c r="Q222" i="8"/>
  <c r="R222" i="8" s="1"/>
  <c r="N222" i="8"/>
  <c r="N231" i="8"/>
  <c r="Q231" i="8"/>
  <c r="R231" i="8" s="1"/>
  <c r="Q234" i="8"/>
  <c r="R234" i="8" s="1"/>
  <c r="N234" i="8"/>
  <c r="N241" i="8"/>
  <c r="Q241" i="8"/>
  <c r="R241" i="8" s="1"/>
  <c r="D163" i="8"/>
  <c r="D168" i="8" s="1"/>
  <c r="N221" i="8"/>
  <c r="Q221" i="8"/>
  <c r="R221" i="8" s="1"/>
  <c r="N235" i="8"/>
  <c r="Q235" i="8"/>
  <c r="R235" i="8" s="1"/>
  <c r="N237" i="8"/>
  <c r="Q237" i="8"/>
  <c r="R237" i="8" s="1"/>
  <c r="Q240" i="8"/>
  <c r="R240" i="8" s="1"/>
  <c r="N240" i="8"/>
  <c r="Q218" i="8"/>
  <c r="R218" i="8" s="1"/>
  <c r="N218" i="8"/>
  <c r="N227" i="8"/>
  <c r="Q227" i="8"/>
  <c r="R227" i="8" s="1"/>
  <c r="Q224" i="8"/>
  <c r="R224" i="8" s="1"/>
  <c r="N224" i="8"/>
  <c r="Q228" i="8"/>
  <c r="R228" i="8" s="1"/>
  <c r="N228" i="8"/>
  <c r="Q230" i="8"/>
  <c r="R230" i="8" s="1"/>
  <c r="N230" i="8"/>
  <c r="Q232" i="8"/>
  <c r="R232" i="8" s="1"/>
  <c r="N232" i="8"/>
  <c r="Q236" i="8"/>
  <c r="R236" i="8" s="1"/>
  <c r="N236" i="8"/>
  <c r="Q238" i="8"/>
  <c r="R238" i="8" s="1"/>
  <c r="N238" i="8"/>
  <c r="G163" i="8"/>
  <c r="C163" i="8"/>
  <c r="C168" i="8" s="1"/>
  <c r="J162" i="8"/>
  <c r="H161" i="8"/>
  <c r="J148" i="8"/>
  <c r="I161" i="8" s="1"/>
  <c r="H157" i="8"/>
  <c r="J144" i="8"/>
  <c r="I157" i="8" s="1"/>
  <c r="H160" i="8"/>
  <c r="J147" i="8"/>
  <c r="I160" i="8" s="1"/>
  <c r="H159" i="8"/>
  <c r="J146" i="8"/>
  <c r="I159" i="8" s="1"/>
  <c r="C150" i="8"/>
  <c r="D144" i="8"/>
  <c r="B157" i="8" s="1"/>
  <c r="B163" i="8" s="1"/>
  <c r="G143" i="8"/>
  <c r="E156" i="8" s="1"/>
  <c r="E163" i="8" s="1"/>
  <c r="H158" i="8"/>
  <c r="J145" i="8"/>
  <c r="I158" i="8" s="1"/>
  <c r="B130" i="8"/>
  <c r="G130" i="8" s="1"/>
  <c r="B128" i="8"/>
  <c r="G128" i="8" s="1"/>
  <c r="B126" i="8"/>
  <c r="G126" i="8" s="1"/>
  <c r="B129" i="8"/>
  <c r="G129" i="8" s="1"/>
  <c r="B127" i="8"/>
  <c r="G127" i="8" s="1"/>
  <c r="B125" i="8"/>
  <c r="G125" i="8" s="1"/>
  <c r="F124" i="8"/>
  <c r="F131" i="8" s="1"/>
  <c r="F133" i="8" s="1"/>
  <c r="E124" i="8"/>
  <c r="E131" i="8" s="1"/>
  <c r="E133" i="8" s="1"/>
  <c r="I118" i="8"/>
  <c r="C118" i="8"/>
  <c r="F95" i="8"/>
  <c r="F96" i="8"/>
  <c r="B90" i="8"/>
  <c r="G85" i="8"/>
  <c r="E96" i="8"/>
  <c r="E95" i="8"/>
  <c r="C96" i="8"/>
  <c r="C95" i="8"/>
  <c r="B91" i="8"/>
  <c r="G91" i="8" s="1"/>
  <c r="G86" i="8"/>
  <c r="D95" i="8"/>
  <c r="D96" i="8"/>
  <c r="B65" i="8"/>
  <c r="E64" i="8"/>
  <c r="E63" i="8"/>
  <c r="C62" i="8"/>
  <c r="D62" i="8" s="1"/>
  <c r="E62" i="8" s="1"/>
  <c r="C61" i="8"/>
  <c r="D61" i="8" s="1"/>
  <c r="E61" i="8" s="1"/>
  <c r="C60" i="8"/>
  <c r="D60" i="8" s="1"/>
  <c r="E60" i="8" s="1"/>
  <c r="C59" i="8"/>
  <c r="D59" i="8" s="1"/>
  <c r="E59" i="8" s="1"/>
  <c r="C58" i="8"/>
  <c r="D58" i="8" s="1"/>
  <c r="C44" i="8"/>
  <c r="B44" i="8"/>
  <c r="C43" i="8"/>
  <c r="B43" i="8"/>
  <c r="C36" i="8"/>
  <c r="B36" i="8"/>
  <c r="D33" i="8"/>
  <c r="C30" i="8"/>
  <c r="B30" i="8"/>
  <c r="D11" i="8"/>
  <c r="C12" i="8"/>
  <c r="D12" i="8"/>
  <c r="B12" i="8"/>
  <c r="C11" i="8"/>
  <c r="B11" i="8"/>
  <c r="C7" i="8"/>
  <c r="C9" i="8" s="1"/>
  <c r="C10" i="8" s="1"/>
  <c r="B7" i="8"/>
  <c r="B9" i="8" s="1"/>
  <c r="B10" i="8" s="1"/>
  <c r="B17" i="8" s="1"/>
  <c r="D5" i="8"/>
  <c r="C62" i="7"/>
  <c r="D62" i="7"/>
  <c r="E62" i="7"/>
  <c r="F62" i="7"/>
  <c r="G62" i="7"/>
  <c r="H62" i="7"/>
  <c r="B62" i="7"/>
  <c r="C61" i="7"/>
  <c r="D61" i="7"/>
  <c r="E61" i="7"/>
  <c r="F61" i="7"/>
  <c r="G61" i="7"/>
  <c r="H61" i="7"/>
  <c r="B61" i="7"/>
  <c r="C60" i="7"/>
  <c r="D60" i="7"/>
  <c r="E60" i="7"/>
  <c r="F60" i="7"/>
  <c r="G60" i="7"/>
  <c r="G66" i="7" s="1"/>
  <c r="H60" i="7"/>
  <c r="H66" i="7" s="1"/>
  <c r="B60" i="7"/>
  <c r="C59" i="7"/>
  <c r="D59" i="7"/>
  <c r="E59" i="7"/>
  <c r="F59" i="7"/>
  <c r="G59" i="7"/>
  <c r="H59" i="7"/>
  <c r="B59" i="7"/>
  <c r="C47" i="7"/>
  <c r="C49" i="7" s="1"/>
  <c r="C66" i="7" s="1"/>
  <c r="D47" i="7"/>
  <c r="E47" i="7"/>
  <c r="E49" i="7" s="1"/>
  <c r="E66" i="7" s="1"/>
  <c r="F47" i="7"/>
  <c r="F49" i="7" s="1"/>
  <c r="F66" i="7" s="1"/>
  <c r="B47" i="7"/>
  <c r="D49" i="7"/>
  <c r="D66" i="7" s="1"/>
  <c r="I53" i="7"/>
  <c r="I46" i="7"/>
  <c r="I45" i="7"/>
  <c r="H38" i="7"/>
  <c r="H40" i="7" s="1"/>
  <c r="H42" i="7" s="1"/>
  <c r="H65" i="7" s="1"/>
  <c r="G38" i="7"/>
  <c r="G40" i="7" s="1"/>
  <c r="G42" i="7" s="1"/>
  <c r="G65" i="7" s="1"/>
  <c r="F38" i="7"/>
  <c r="F40" i="7" s="1"/>
  <c r="F42" i="7" s="1"/>
  <c r="F65" i="7" s="1"/>
  <c r="E38" i="7"/>
  <c r="E40" i="7" s="1"/>
  <c r="E42" i="7" s="1"/>
  <c r="E65" i="7" s="1"/>
  <c r="D38" i="7"/>
  <c r="D40" i="7" s="1"/>
  <c r="D42" i="7" s="1"/>
  <c r="D65" i="7" s="1"/>
  <c r="C38" i="7"/>
  <c r="C40" i="7" s="1"/>
  <c r="C42" i="7" s="1"/>
  <c r="C65" i="7" s="1"/>
  <c r="B38" i="7"/>
  <c r="B40" i="7" s="1"/>
  <c r="B42" i="7" s="1"/>
  <c r="F28" i="7"/>
  <c r="E28" i="7"/>
  <c r="E29" i="7" s="1"/>
  <c r="D28" i="7"/>
  <c r="D30" i="7" s="1"/>
  <c r="C28" i="7"/>
  <c r="C30" i="7" s="1"/>
  <c r="B28" i="7"/>
  <c r="B30" i="7" s="1"/>
  <c r="B22" i="7"/>
  <c r="F26" i="7" s="1"/>
  <c r="E15" i="7"/>
  <c r="E16" i="7" s="1"/>
  <c r="D15" i="7"/>
  <c r="D16" i="7" s="1"/>
  <c r="C15" i="7"/>
  <c r="C16" i="7" s="1"/>
  <c r="B15" i="7"/>
  <c r="B16" i="7" s="1"/>
  <c r="F11" i="7"/>
  <c r="E12" i="7" s="1"/>
  <c r="B5" i="7"/>
  <c r="G142" i="6"/>
  <c r="G143" i="6"/>
  <c r="G144" i="6"/>
  <c r="G145" i="6"/>
  <c r="G146" i="6"/>
  <c r="G147" i="6"/>
  <c r="G141" i="6"/>
  <c r="G148" i="6" s="1"/>
  <c r="F147" i="6"/>
  <c r="C152" i="6"/>
  <c r="B148" i="6"/>
  <c r="D147" i="6"/>
  <c r="E147" i="6" s="1"/>
  <c r="H147" i="6" s="1"/>
  <c r="I147" i="6" s="1"/>
  <c r="D146" i="6"/>
  <c r="D145" i="6"/>
  <c r="E145" i="6" s="1"/>
  <c r="H145" i="6" s="1"/>
  <c r="I145" i="6" s="1"/>
  <c r="D144" i="6"/>
  <c r="E144" i="6" s="1"/>
  <c r="D143" i="6"/>
  <c r="E143" i="6" s="1"/>
  <c r="H143" i="6" s="1"/>
  <c r="I143" i="6" s="1"/>
  <c r="D142" i="6"/>
  <c r="D141" i="6"/>
  <c r="F141" i="6" s="1"/>
  <c r="B99" i="6"/>
  <c r="F88" i="6"/>
  <c r="H88" i="6" s="1"/>
  <c r="E81" i="6"/>
  <c r="E82" i="6"/>
  <c r="E83" i="6"/>
  <c r="E84" i="6"/>
  <c r="E85" i="6"/>
  <c r="E86" i="6"/>
  <c r="E87" i="6"/>
  <c r="C106" i="6"/>
  <c r="C122" i="6" s="1"/>
  <c r="C124" i="6"/>
  <c r="B92" i="6"/>
  <c r="D88" i="6"/>
  <c r="C88" i="6"/>
  <c r="B71" i="6"/>
  <c r="B59" i="6"/>
  <c r="B56" i="6"/>
  <c r="C51" i="6"/>
  <c r="B50" i="6"/>
  <c r="B43" i="6"/>
  <c r="B22" i="6"/>
  <c r="B38" i="6" s="1"/>
  <c r="B39" i="6"/>
  <c r="B40" i="6"/>
  <c r="B41" i="6"/>
  <c r="C18" i="6"/>
  <c r="C17" i="6"/>
  <c r="D17" i="6" s="1"/>
  <c r="B4" i="6"/>
  <c r="B7" i="6" s="1"/>
  <c r="B11" i="6" s="1"/>
  <c r="B12" i="6" s="1"/>
  <c r="B235" i="5"/>
  <c r="D234" i="5"/>
  <c r="D232" i="5"/>
  <c r="D231" i="5"/>
  <c r="C230" i="5"/>
  <c r="C229" i="5"/>
  <c r="C228" i="5"/>
  <c r="B226" i="5"/>
  <c r="B220" i="5"/>
  <c r="D220" i="5" s="1"/>
  <c r="D225" i="5" s="1"/>
  <c r="B217" i="5"/>
  <c r="B218" i="5" s="1"/>
  <c r="D218" i="5" s="1"/>
  <c r="B213" i="5"/>
  <c r="B215" i="5" s="1"/>
  <c r="D215" i="5" s="1"/>
  <c r="D209" i="5"/>
  <c r="D217" i="5" s="1"/>
  <c r="D224" i="5" s="1"/>
  <c r="D208" i="5"/>
  <c r="D213" i="5" s="1"/>
  <c r="B199" i="5"/>
  <c r="C195" i="5"/>
  <c r="C194" i="5"/>
  <c r="C193" i="5"/>
  <c r="B191" i="5"/>
  <c r="B200" i="5" s="1"/>
  <c r="D185" i="5"/>
  <c r="B185" i="5"/>
  <c r="B186" i="5" s="1"/>
  <c r="D186" i="5" s="1"/>
  <c r="D181" i="5"/>
  <c r="B181" i="5"/>
  <c r="B183" i="5" s="1"/>
  <c r="D183" i="5" s="1"/>
  <c r="D171" i="5"/>
  <c r="D169" i="5"/>
  <c r="B159" i="5"/>
  <c r="B163" i="5" s="1"/>
  <c r="B157" i="5"/>
  <c r="B167" i="5" s="1"/>
  <c r="E149" i="5"/>
  <c r="E168" i="5" s="1"/>
  <c r="E147" i="5"/>
  <c r="E166" i="5" s="1"/>
  <c r="D145" i="5"/>
  <c r="D153" i="5" s="1"/>
  <c r="E153" i="5" s="1"/>
  <c r="B140" i="5"/>
  <c r="B144" i="5" s="1"/>
  <c r="C144" i="5" s="1"/>
  <c r="C163" i="5" s="1"/>
  <c r="B143" i="5"/>
  <c r="B148" i="5" s="1"/>
  <c r="C148" i="5" s="1"/>
  <c r="C167" i="5" s="1"/>
  <c r="B120" i="5"/>
  <c r="B129" i="5" s="1"/>
  <c r="B127" i="5"/>
  <c r="D121" i="5"/>
  <c r="D125" i="5" s="1"/>
  <c r="D112" i="5"/>
  <c r="D113" i="5" s="1"/>
  <c r="D130" i="5" s="1"/>
  <c r="B112" i="5"/>
  <c r="E111" i="5"/>
  <c r="E128" i="5" s="1"/>
  <c r="B110" i="5"/>
  <c r="C110" i="5" s="1"/>
  <c r="C127" i="5" s="1"/>
  <c r="B109" i="5"/>
  <c r="C109" i="5" s="1"/>
  <c r="C126" i="5" s="1"/>
  <c r="E108" i="5"/>
  <c r="D106" i="5"/>
  <c r="C105" i="5"/>
  <c r="C122" i="5" s="1"/>
  <c r="D122" i="5" s="1"/>
  <c r="C103" i="5"/>
  <c r="C120" i="5" s="1"/>
  <c r="C96" i="5"/>
  <c r="B96" i="5"/>
  <c r="E94" i="5"/>
  <c r="E93" i="5"/>
  <c r="E92" i="5"/>
  <c r="B89" i="5"/>
  <c r="E89" i="5" s="1"/>
  <c r="B88" i="5"/>
  <c r="E88" i="5" s="1"/>
  <c r="C82" i="5"/>
  <c r="C97" i="5" s="1"/>
  <c r="B82" i="5"/>
  <c r="B97" i="5" s="1"/>
  <c r="E78" i="5"/>
  <c r="E77" i="5"/>
  <c r="C75" i="5"/>
  <c r="D75" i="5" s="1"/>
  <c r="E74" i="5"/>
  <c r="B73" i="5"/>
  <c r="E73" i="5" s="1"/>
  <c r="E72" i="5"/>
  <c r="E71" i="5"/>
  <c r="E70" i="5"/>
  <c r="D64" i="5"/>
  <c r="E64" i="5" s="1"/>
  <c r="C64" i="5"/>
  <c r="C63" i="5"/>
  <c r="D63" i="5" s="1"/>
  <c r="E63" i="5" s="1"/>
  <c r="C62" i="5"/>
  <c r="D62" i="5" s="1"/>
  <c r="E62" i="5" s="1"/>
  <c r="B54" i="5"/>
  <c r="B51" i="5" s="1"/>
  <c r="D51" i="5" s="1"/>
  <c r="B53" i="5"/>
  <c r="E51" i="5"/>
  <c r="D49" i="5"/>
  <c r="C49" i="5"/>
  <c r="E48" i="5"/>
  <c r="D48" i="5"/>
  <c r="C48" i="5"/>
  <c r="E47" i="5"/>
  <c r="E58" i="5" s="1"/>
  <c r="D47" i="5"/>
  <c r="D59" i="5" s="1"/>
  <c r="C47" i="5"/>
  <c r="C59" i="5" s="1"/>
  <c r="C40" i="5"/>
  <c r="E40" i="5" s="1"/>
  <c r="E39" i="5"/>
  <c r="D38" i="5"/>
  <c r="C36" i="5"/>
  <c r="B34" i="5"/>
  <c r="D33" i="5"/>
  <c r="D36" i="5" s="1"/>
  <c r="D32" i="5"/>
  <c r="B20" i="5"/>
  <c r="B22" i="5"/>
  <c r="B13" i="5"/>
  <c r="B26" i="5" s="1"/>
  <c r="C4" i="5"/>
  <c r="C5" i="5"/>
  <c r="C7" i="5"/>
  <c r="C9" i="5"/>
  <c r="B6" i="5"/>
  <c r="C6" i="5" s="1"/>
  <c r="C19" i="5" s="1"/>
  <c r="C18" i="5" s="1"/>
  <c r="C35" i="4"/>
  <c r="C37" i="4" s="1"/>
  <c r="D37" i="4" s="1"/>
  <c r="E57" i="4"/>
  <c r="C58" i="4"/>
  <c r="E56" i="4"/>
  <c r="C57" i="4"/>
  <c r="C56" i="4"/>
  <c r="E55" i="4"/>
  <c r="C55" i="4"/>
  <c r="E54" i="4"/>
  <c r="C54" i="4"/>
  <c r="E53" i="4"/>
  <c r="C53" i="4"/>
  <c r="E50" i="4"/>
  <c r="E45" i="4"/>
  <c r="E46" i="4" s="1"/>
  <c r="C45" i="4"/>
  <c r="C46" i="4" s="1"/>
  <c r="E37" i="4"/>
  <c r="F37" i="4" s="1"/>
  <c r="D27" i="4"/>
  <c r="D29" i="4"/>
  <c r="D30" i="4" s="1"/>
  <c r="D28" i="4"/>
  <c r="D25" i="4"/>
  <c r="D23" i="4"/>
  <c r="D22" i="4"/>
  <c r="D26" i="4" s="1"/>
  <c r="D18" i="4"/>
  <c r="C74" i="1"/>
  <c r="B74" i="1"/>
  <c r="C69" i="1"/>
  <c r="C70" i="1" s="1"/>
  <c r="C75" i="1" s="1"/>
  <c r="B69" i="1"/>
  <c r="B70" i="1" s="1"/>
  <c r="B75" i="1" s="1"/>
  <c r="D73" i="1"/>
  <c r="C59" i="1"/>
  <c r="B59" i="1"/>
  <c r="C53" i="1"/>
  <c r="B53" i="1"/>
  <c r="C55" i="1"/>
  <c r="C60" i="1" s="1"/>
  <c r="B55" i="1"/>
  <c r="B60" i="1" s="1"/>
  <c r="C61" i="1"/>
  <c r="C62" i="1" s="1"/>
  <c r="D58" i="1"/>
  <c r="B45" i="1"/>
  <c r="C44" i="1" s="1"/>
  <c r="B41" i="1"/>
  <c r="B46" i="1" s="1"/>
  <c r="B32" i="1"/>
  <c r="B31" i="1" s="1"/>
  <c r="C31" i="1" s="1"/>
  <c r="C33" i="1"/>
  <c r="D24" i="1"/>
  <c r="B24" i="1"/>
  <c r="B18" i="1"/>
  <c r="C18" i="1" s="1"/>
  <c r="B4" i="1"/>
  <c r="G50" i="3"/>
  <c r="G51" i="3" s="1"/>
  <c r="G52" i="3" s="1"/>
  <c r="G54" i="3"/>
  <c r="G55" i="3" s="1"/>
  <c r="G56" i="3" s="1"/>
  <c r="G57" i="3" s="1"/>
  <c r="D41" i="3"/>
  <c r="C33" i="3"/>
  <c r="E36" i="3" s="1"/>
  <c r="E37" i="3" s="1"/>
  <c r="C34" i="3"/>
  <c r="E28" i="3"/>
  <c r="E29" i="3" s="1"/>
  <c r="D16" i="3"/>
  <c r="C18" i="3"/>
  <c r="C20" i="3"/>
  <c r="C21" i="3" s="1"/>
  <c r="C22" i="3" s="1"/>
  <c r="F24" i="3" s="1"/>
  <c r="C8" i="3"/>
  <c r="D3" i="3"/>
  <c r="C12" i="1"/>
  <c r="B10" i="1"/>
  <c r="B11" i="1" s="1"/>
  <c r="B13" i="1" s="1"/>
  <c r="C5" i="1"/>
  <c r="B5" i="1" s="1"/>
  <c r="G44" i="3"/>
  <c r="G46" i="3" s="1"/>
  <c r="F143" i="6" l="1"/>
  <c r="F16" i="7"/>
  <c r="F15" i="7" s="1"/>
  <c r="F14" i="7" s="1"/>
  <c r="B65" i="7"/>
  <c r="I47" i="7"/>
  <c r="E141" i="6"/>
  <c r="D243" i="8"/>
  <c r="B247" i="8"/>
  <c r="C247" i="8" s="1"/>
  <c r="J159" i="8"/>
  <c r="J161" i="8"/>
  <c r="C170" i="8"/>
  <c r="C171" i="8"/>
  <c r="D170" i="8"/>
  <c r="D171" i="8"/>
  <c r="N243" i="8"/>
  <c r="F243" i="8"/>
  <c r="Q243" i="8"/>
  <c r="R243" i="8" s="1"/>
  <c r="H156" i="8"/>
  <c r="H163" i="8" s="1"/>
  <c r="G150" i="8"/>
  <c r="J143" i="8"/>
  <c r="J158" i="8"/>
  <c r="J157" i="8"/>
  <c r="D150" i="8"/>
  <c r="J160" i="8"/>
  <c r="G124" i="8"/>
  <c r="B131" i="8"/>
  <c r="C100" i="8"/>
  <c r="C98" i="8"/>
  <c r="C97" i="8"/>
  <c r="E100" i="8"/>
  <c r="E98" i="8"/>
  <c r="E97" i="8"/>
  <c r="D97" i="8"/>
  <c r="D100" i="8"/>
  <c r="D98" i="8"/>
  <c r="B95" i="8"/>
  <c r="B96" i="8"/>
  <c r="G96" i="8" s="1"/>
  <c r="G90" i="8"/>
  <c r="F97" i="8"/>
  <c r="F100" i="8"/>
  <c r="F98" i="8"/>
  <c r="G47" i="3"/>
  <c r="C3" i="1"/>
  <c r="B6" i="1"/>
  <c r="F142" i="6"/>
  <c r="F146" i="6"/>
  <c r="F145" i="6"/>
  <c r="E146" i="6"/>
  <c r="H146" i="6" s="1"/>
  <c r="I146" i="6" s="1"/>
  <c r="J146" i="6" s="1"/>
  <c r="E142" i="6"/>
  <c r="E148" i="6" s="1"/>
  <c r="B151" i="6" s="1"/>
  <c r="B153" i="6" s="1"/>
  <c r="D75" i="1"/>
  <c r="D34" i="5"/>
  <c r="D39" i="5" s="1"/>
  <c r="B236" i="5"/>
  <c r="C236" i="5" s="1"/>
  <c r="D18" i="6"/>
  <c r="B51" i="6"/>
  <c r="B73" i="6" s="1"/>
  <c r="H144" i="6"/>
  <c r="I144" i="6" s="1"/>
  <c r="J144" i="6" s="1"/>
  <c r="F144" i="6"/>
  <c r="D65" i="8"/>
  <c r="C70" i="8" s="1"/>
  <c r="C71" i="8" s="1"/>
  <c r="E58" i="8"/>
  <c r="E65" i="8" s="1"/>
  <c r="D70" i="8" s="1"/>
  <c r="D71" i="8" s="1"/>
  <c r="C65" i="8"/>
  <c r="B70" i="8" s="1"/>
  <c r="B71" i="8" s="1"/>
  <c r="B74" i="8" s="1"/>
  <c r="C17" i="8"/>
  <c r="C19" i="8" s="1"/>
  <c r="C38" i="8"/>
  <c r="B38" i="8"/>
  <c r="B47" i="8" s="1"/>
  <c r="B19" i="8"/>
  <c r="B16" i="8"/>
  <c r="D30" i="8"/>
  <c r="C16" i="8"/>
  <c r="C18" i="8" s="1"/>
  <c r="D36" i="8"/>
  <c r="D27" i="8"/>
  <c r="J143" i="6"/>
  <c r="D7" i="8"/>
  <c r="D6" i="8" s="1"/>
  <c r="D9" i="8"/>
  <c r="B49" i="7"/>
  <c r="B66" i="7" s="1"/>
  <c r="I66" i="7" s="1"/>
  <c r="B52" i="7"/>
  <c r="B54" i="7" s="1"/>
  <c r="G52" i="7"/>
  <c r="G54" i="7" s="1"/>
  <c r="G56" i="7" s="1"/>
  <c r="E52" i="7"/>
  <c r="E54" i="7" s="1"/>
  <c r="E56" i="7" s="1"/>
  <c r="C52" i="7"/>
  <c r="C54" i="7" s="1"/>
  <c r="C56" i="7" s="1"/>
  <c r="H52" i="7"/>
  <c r="H54" i="7" s="1"/>
  <c r="H56" i="7" s="1"/>
  <c r="F52" i="7"/>
  <c r="F54" i="7" s="1"/>
  <c r="F56" i="7" s="1"/>
  <c r="D52" i="7"/>
  <c r="D54" i="7" s="1"/>
  <c r="D56" i="7" s="1"/>
  <c r="I49" i="7"/>
  <c r="I40" i="7"/>
  <c r="I38" i="7"/>
  <c r="D26" i="7"/>
  <c r="D31" i="7" s="1"/>
  <c r="B26" i="7"/>
  <c r="B31" i="7" s="1"/>
  <c r="E26" i="7"/>
  <c r="E31" i="7" s="1"/>
  <c r="C26" i="7"/>
  <c r="C31" i="7" s="1"/>
  <c r="B6" i="7"/>
  <c r="B12" i="7"/>
  <c r="D12" i="7"/>
  <c r="F12" i="7"/>
  <c r="F27" i="7" s="1"/>
  <c r="C12" i="7"/>
  <c r="J147" i="6"/>
  <c r="J145" i="6"/>
  <c r="D148" i="6"/>
  <c r="H141" i="6"/>
  <c r="I141" i="6" s="1"/>
  <c r="B52" i="6"/>
  <c r="B74" i="6" s="1"/>
  <c r="B72" i="6"/>
  <c r="C72" i="6" s="1"/>
  <c r="F86" i="6"/>
  <c r="G86" i="6" s="1"/>
  <c r="F84" i="6"/>
  <c r="G84" i="6" s="1"/>
  <c r="F82" i="6"/>
  <c r="G82" i="6" s="1"/>
  <c r="B53" i="6"/>
  <c r="B57" i="6" s="1"/>
  <c r="F87" i="6"/>
  <c r="G87" i="6" s="1"/>
  <c r="F85" i="6"/>
  <c r="G85" i="6" s="1"/>
  <c r="F83" i="6"/>
  <c r="G83" i="6" s="1"/>
  <c r="F81" i="6"/>
  <c r="G81" i="6" s="1"/>
  <c r="B93" i="6"/>
  <c r="B94" i="6" s="1"/>
  <c r="H81" i="6"/>
  <c r="H83" i="6"/>
  <c r="H85" i="6"/>
  <c r="H87" i="6"/>
  <c r="H84" i="6"/>
  <c r="G88" i="6"/>
  <c r="B96" i="6"/>
  <c r="B100" i="6" s="1"/>
  <c r="C107" i="6" s="1"/>
  <c r="B60" i="6"/>
  <c r="B58" i="6"/>
  <c r="C19" i="6"/>
  <c r="D19" i="6" s="1"/>
  <c r="C37" i="6" s="1"/>
  <c r="B21" i="6"/>
  <c r="B5" i="6"/>
  <c r="B6" i="6" s="1"/>
  <c r="D233" i="5"/>
  <c r="D230" i="5"/>
  <c r="E230" i="5" s="1"/>
  <c r="D228" i="5"/>
  <c r="B214" i="5"/>
  <c r="D214" i="5" s="1"/>
  <c r="D223" i="5" s="1"/>
  <c r="B203" i="5"/>
  <c r="C203" i="5" s="1"/>
  <c r="C200" i="5"/>
  <c r="D190" i="5"/>
  <c r="D193" i="5" s="1"/>
  <c r="D197" i="5"/>
  <c r="B182" i="5"/>
  <c r="D182" i="5" s="1"/>
  <c r="D189" i="5" s="1"/>
  <c r="B158" i="5"/>
  <c r="B170" i="5" s="1"/>
  <c r="B162" i="5"/>
  <c r="B139" i="5"/>
  <c r="B151" i="5" s="1"/>
  <c r="C151" i="5" s="1"/>
  <c r="C170" i="5" s="1"/>
  <c r="D170" i="5" s="1"/>
  <c r="D58" i="5"/>
  <c r="D115" i="5"/>
  <c r="E115" i="5" s="1"/>
  <c r="B55" i="5"/>
  <c r="B60" i="5" s="1"/>
  <c r="B65" i="5" s="1"/>
  <c r="E75" i="5"/>
  <c r="E80" i="5" s="1"/>
  <c r="F80" i="5" s="1"/>
  <c r="B86" i="5"/>
  <c r="C112" i="5"/>
  <c r="C129" i="5" s="1"/>
  <c r="D129" i="5" s="1"/>
  <c r="D167" i="5"/>
  <c r="D163" i="5"/>
  <c r="D166" i="5" s="1"/>
  <c r="C143" i="5"/>
  <c r="C162" i="5" s="1"/>
  <c r="D162" i="5" s="1"/>
  <c r="E150" i="5"/>
  <c r="D127" i="5"/>
  <c r="D120" i="5"/>
  <c r="D123" i="5" s="1"/>
  <c r="B126" i="5"/>
  <c r="D126" i="5" s="1"/>
  <c r="B21" i="5"/>
  <c r="D40" i="5"/>
  <c r="C58" i="5"/>
  <c r="E59" i="5"/>
  <c r="F74" i="5"/>
  <c r="F90" i="5" s="1"/>
  <c r="C86" i="5"/>
  <c r="F75" i="5"/>
  <c r="B91" i="5"/>
  <c r="C91" i="5"/>
  <c r="C87" i="5" s="1"/>
  <c r="E87" i="5" s="1"/>
  <c r="B75" i="5"/>
  <c r="C51" i="5"/>
  <c r="C53" i="5"/>
  <c r="E53" i="5"/>
  <c r="C54" i="5"/>
  <c r="E54" i="5"/>
  <c r="E57" i="5" s="1"/>
  <c r="D53" i="5"/>
  <c r="D54" i="5"/>
  <c r="D57" i="5" s="1"/>
  <c r="C37" i="5"/>
  <c r="E37" i="5" s="1"/>
  <c r="B39" i="5"/>
  <c r="B42" i="5" s="1"/>
  <c r="C42" i="5" s="1"/>
  <c r="B8" i="5"/>
  <c r="D41" i="4"/>
  <c r="D35" i="4"/>
  <c r="F40" i="4"/>
  <c r="F38" i="4"/>
  <c r="F36" i="4"/>
  <c r="D40" i="4"/>
  <c r="D38" i="4"/>
  <c r="F41" i="4"/>
  <c r="F35" i="4"/>
  <c r="C39" i="4"/>
  <c r="D39" i="4" s="1"/>
  <c r="E39" i="4"/>
  <c r="F39" i="4" s="1"/>
  <c r="D24" i="4"/>
  <c r="D6" i="4"/>
  <c r="D10" i="4"/>
  <c r="D13" i="4"/>
  <c r="D17" i="4"/>
  <c r="D5" i="4"/>
  <c r="C7" i="4"/>
  <c r="D8" i="4"/>
  <c r="D11" i="4"/>
  <c r="D15" i="4"/>
  <c r="F10" i="3"/>
  <c r="F12" i="3" s="1"/>
  <c r="G59" i="3"/>
  <c r="C76" i="1"/>
  <c r="C77" i="1" s="1"/>
  <c r="B76" i="1"/>
  <c r="B77" i="1" s="1"/>
  <c r="C46" i="1"/>
  <c r="D74" i="1"/>
  <c r="B61" i="1"/>
  <c r="B62" i="1" s="1"/>
  <c r="C10" i="1"/>
  <c r="B20" i="1"/>
  <c r="C20" i="1" s="1"/>
  <c r="C19" i="1"/>
  <c r="C17" i="1"/>
  <c r="B25" i="1"/>
  <c r="D25" i="1"/>
  <c r="B33" i="1"/>
  <c r="C45" i="1"/>
  <c r="B47" i="1"/>
  <c r="C47" i="1" s="1"/>
  <c r="D60" i="1"/>
  <c r="D59" i="1"/>
  <c r="B12" i="1"/>
  <c r="B54" i="6" l="1"/>
  <c r="C54" i="6" s="1"/>
  <c r="C252" i="8"/>
  <c r="B254" i="8"/>
  <c r="C254" i="8" s="1"/>
  <c r="C253" i="8"/>
  <c r="B255" i="8"/>
  <c r="C255" i="8" s="1"/>
  <c r="B248" i="8"/>
  <c r="C248" i="8" s="1"/>
  <c r="I156" i="8"/>
  <c r="I163" i="8" s="1"/>
  <c r="B250" i="8"/>
  <c r="C250" i="8" s="1"/>
  <c r="D172" i="8"/>
  <c r="D169" i="8"/>
  <c r="C169" i="8"/>
  <c r="C172" i="8"/>
  <c r="B168" i="8"/>
  <c r="E168" i="8"/>
  <c r="J150" i="8"/>
  <c r="E99" i="8"/>
  <c r="E102" i="8" s="1"/>
  <c r="E103" i="8" s="1"/>
  <c r="E104" i="8" s="1"/>
  <c r="G131" i="8"/>
  <c r="B133" i="8"/>
  <c r="G133" i="8" s="1"/>
  <c r="B97" i="8"/>
  <c r="B100" i="8"/>
  <c r="G100" i="8" s="1"/>
  <c r="B98" i="8"/>
  <c r="G98" i="8" s="1"/>
  <c r="G95" i="8"/>
  <c r="F99" i="8"/>
  <c r="F102" i="8" s="1"/>
  <c r="D99" i="8"/>
  <c r="D102" i="8" s="1"/>
  <c r="C99" i="8"/>
  <c r="C102" i="8" s="1"/>
  <c r="D10" i="8"/>
  <c r="D8" i="8"/>
  <c r="H86" i="6"/>
  <c r="H82" i="6"/>
  <c r="D37" i="5"/>
  <c r="D42" i="5" s="1"/>
  <c r="E42" i="5" s="1"/>
  <c r="E86" i="5"/>
  <c r="D195" i="5"/>
  <c r="E195" i="5" s="1"/>
  <c r="D72" i="8"/>
  <c r="D73" i="8" s="1"/>
  <c r="D74" i="8"/>
  <c r="H142" i="6"/>
  <c r="I142" i="6" s="1"/>
  <c r="J142" i="6" s="1"/>
  <c r="B95" i="6"/>
  <c r="B128" i="6"/>
  <c r="C74" i="6"/>
  <c r="D19" i="8"/>
  <c r="C40" i="8"/>
  <c r="C42" i="8" s="1"/>
  <c r="C48" i="8" s="1"/>
  <c r="C47" i="8"/>
  <c r="C74" i="8"/>
  <c r="C72" i="8"/>
  <c r="C73" i="8" s="1"/>
  <c r="B152" i="6"/>
  <c r="E70" i="8"/>
  <c r="D17" i="8"/>
  <c r="C21" i="8"/>
  <c r="C20" i="8"/>
  <c r="D16" i="8"/>
  <c r="D38" i="8"/>
  <c r="D67" i="7"/>
  <c r="D70" i="7" s="1"/>
  <c r="D68" i="7"/>
  <c r="H67" i="7"/>
  <c r="H70" i="7" s="1"/>
  <c r="H68" i="7"/>
  <c r="E68" i="7"/>
  <c r="E67" i="7"/>
  <c r="F67" i="7"/>
  <c r="F68" i="7"/>
  <c r="C68" i="7"/>
  <c r="C67" i="7"/>
  <c r="G68" i="7"/>
  <c r="G67" i="7"/>
  <c r="I54" i="7"/>
  <c r="B56" i="7"/>
  <c r="I52" i="7"/>
  <c r="I42" i="7"/>
  <c r="I65" i="7"/>
  <c r="F31" i="7"/>
  <c r="F30" i="7" s="1"/>
  <c r="F29" i="7" s="1"/>
  <c r="H148" i="6"/>
  <c r="B154" i="6" s="1"/>
  <c r="C151" i="6"/>
  <c r="C148" i="6"/>
  <c r="F148" i="6"/>
  <c r="C73" i="6"/>
  <c r="B63" i="6"/>
  <c r="B64" i="6" s="1"/>
  <c r="B65" i="6" s="1"/>
  <c r="B103" i="6"/>
  <c r="B97" i="6"/>
  <c r="C97" i="6" s="1"/>
  <c r="C28" i="6"/>
  <c r="B36" i="6" s="1"/>
  <c r="B37" i="6"/>
  <c r="B35" i="6" s="1"/>
  <c r="C30" i="6"/>
  <c r="B8" i="6"/>
  <c r="C8" i="6" s="1"/>
  <c r="C6" i="6"/>
  <c r="D226" i="5"/>
  <c r="D229" i="5"/>
  <c r="E229" i="5" s="1"/>
  <c r="E228" i="5"/>
  <c r="E193" i="5"/>
  <c r="D194" i="5"/>
  <c r="E194" i="5" s="1"/>
  <c r="D191" i="5"/>
  <c r="E90" i="5"/>
  <c r="E91" i="5" s="1"/>
  <c r="D164" i="5"/>
  <c r="D168" i="5" s="1"/>
  <c r="D172" i="5" s="1"/>
  <c r="E172" i="5" s="1"/>
  <c r="D128" i="5"/>
  <c r="D132" i="5" s="1"/>
  <c r="E132" i="5" s="1"/>
  <c r="B19" i="5"/>
  <c r="B17" i="5" s="1"/>
  <c r="C21" i="5" s="1"/>
  <c r="D55" i="5"/>
  <c r="D60" i="5" s="1"/>
  <c r="D65" i="5" s="1"/>
  <c r="E55" i="5"/>
  <c r="E60" i="5" s="1"/>
  <c r="E65" i="5" s="1"/>
  <c r="C57" i="5"/>
  <c r="C55" i="5"/>
  <c r="B10" i="5"/>
  <c r="C10" i="5" s="1"/>
  <c r="C8" i="5"/>
  <c r="E42" i="4"/>
  <c r="F42" i="4" s="1"/>
  <c r="C42" i="4"/>
  <c r="D42" i="4" s="1"/>
  <c r="C9" i="4"/>
  <c r="D7" i="4"/>
  <c r="D76" i="1"/>
  <c r="D77" i="1" s="1"/>
  <c r="C25" i="1"/>
  <c r="F25" i="1"/>
  <c r="B27" i="1"/>
  <c r="C24" i="1"/>
  <c r="D27" i="1"/>
  <c r="E25" i="1"/>
  <c r="D26" i="1"/>
  <c r="E26" i="1" s="1"/>
  <c r="E24" i="1"/>
  <c r="D61" i="1"/>
  <c r="D62" i="1" s="1"/>
  <c r="C29" i="6" l="1"/>
  <c r="G70" i="7"/>
  <c r="C70" i="7"/>
  <c r="B249" i="8"/>
  <c r="B251" i="8" s="1"/>
  <c r="D75" i="8"/>
  <c r="C249" i="8"/>
  <c r="H98" i="8"/>
  <c r="F168" i="8"/>
  <c r="F170" i="8" s="1"/>
  <c r="J156" i="8"/>
  <c r="J163" i="8" s="1"/>
  <c r="F171" i="8"/>
  <c r="B171" i="8"/>
  <c r="B170" i="8"/>
  <c r="E170" i="8"/>
  <c r="E171" i="8"/>
  <c r="E169" i="8"/>
  <c r="H95" i="8"/>
  <c r="H101" i="8"/>
  <c r="H100" i="8"/>
  <c r="H96" i="8"/>
  <c r="D103" i="8"/>
  <c r="D104" i="8" s="1"/>
  <c r="C103" i="8"/>
  <c r="C104" i="8" s="1"/>
  <c r="F103" i="8"/>
  <c r="F104" i="8" s="1"/>
  <c r="B99" i="8"/>
  <c r="G97" i="8"/>
  <c r="H97" i="8" s="1"/>
  <c r="D235" i="5"/>
  <c r="D236" i="5" s="1"/>
  <c r="E236" i="5" s="1"/>
  <c r="C36" i="6"/>
  <c r="C49" i="8"/>
  <c r="B129" i="6"/>
  <c r="B130" i="6"/>
  <c r="D47" i="8"/>
  <c r="E70" i="7"/>
  <c r="C75" i="8"/>
  <c r="E74" i="8"/>
  <c r="B72" i="8"/>
  <c r="E72" i="8" s="1"/>
  <c r="E71" i="8"/>
  <c r="F71" i="8" s="1"/>
  <c r="B73" i="8"/>
  <c r="C22" i="8"/>
  <c r="B39" i="8"/>
  <c r="B40" i="8" s="1"/>
  <c r="C154" i="6"/>
  <c r="B155" i="6"/>
  <c r="C155" i="6" s="1"/>
  <c r="B18" i="8"/>
  <c r="B68" i="7"/>
  <c r="I68" i="7" s="1"/>
  <c r="B67" i="7"/>
  <c r="F70" i="7"/>
  <c r="I56" i="7"/>
  <c r="I148" i="6"/>
  <c r="J148" i="6" s="1"/>
  <c r="J141" i="6"/>
  <c r="B75" i="6"/>
  <c r="B66" i="6"/>
  <c r="B67" i="6" s="1"/>
  <c r="C120" i="6"/>
  <c r="C121" i="6" s="1"/>
  <c r="B117" i="6"/>
  <c r="B114" i="6"/>
  <c r="B110" i="6"/>
  <c r="B115" i="6"/>
  <c r="B111" i="6"/>
  <c r="B116" i="6"/>
  <c r="B112" i="6"/>
  <c r="B113" i="6"/>
  <c r="C123" i="6"/>
  <c r="B131" i="6"/>
  <c r="C131" i="6" s="1"/>
  <c r="C38" i="6"/>
  <c r="B34" i="6"/>
  <c r="C41" i="6"/>
  <c r="C35" i="6"/>
  <c r="C40" i="6"/>
  <c r="C39" i="6"/>
  <c r="D199" i="5"/>
  <c r="D200" i="5" s="1"/>
  <c r="C60" i="5"/>
  <c r="C65" i="5" s="1"/>
  <c r="B27" i="5"/>
  <c r="C23" i="5"/>
  <c r="C20" i="5"/>
  <c r="B18" i="5"/>
  <c r="C22" i="5"/>
  <c r="E95" i="5"/>
  <c r="F95" i="5" s="1"/>
  <c r="F91" i="5"/>
  <c r="D9" i="4"/>
  <c r="C12" i="4"/>
  <c r="B26" i="1"/>
  <c r="F27" i="1"/>
  <c r="G27" i="1" s="1"/>
  <c r="G25" i="1"/>
  <c r="G24" i="1"/>
  <c r="F172" i="8" l="1"/>
  <c r="G168" i="8"/>
  <c r="H168" i="8" s="1"/>
  <c r="F169" i="8"/>
  <c r="C251" i="8"/>
  <c r="B256" i="8"/>
  <c r="C256" i="8" s="1"/>
  <c r="G171" i="8"/>
  <c r="H171" i="8" s="1"/>
  <c r="E172" i="8"/>
  <c r="I171" i="8"/>
  <c r="B172" i="8"/>
  <c r="G170" i="8"/>
  <c r="H170" i="8" s="1"/>
  <c r="B169" i="8"/>
  <c r="B102" i="8"/>
  <c r="G99" i="8"/>
  <c r="H99" i="8" s="1"/>
  <c r="F72" i="8"/>
  <c r="F74" i="8"/>
  <c r="B77" i="8"/>
  <c r="B78" i="8" s="1"/>
  <c r="D51" i="8"/>
  <c r="F70" i="8"/>
  <c r="E73" i="8"/>
  <c r="F73" i="8" s="1"/>
  <c r="B75" i="8"/>
  <c r="E75" i="8" s="1"/>
  <c r="F75" i="8" s="1"/>
  <c r="D40" i="8"/>
  <c r="B42" i="8"/>
  <c r="B21" i="8"/>
  <c r="D18" i="8"/>
  <c r="D21" i="8" s="1"/>
  <c r="B20" i="8"/>
  <c r="D20" i="8" s="1"/>
  <c r="I67" i="7"/>
  <c r="I70" i="7" s="1"/>
  <c r="B70" i="7"/>
  <c r="C34" i="6"/>
  <c r="B44" i="6"/>
  <c r="C75" i="6"/>
  <c r="B76" i="6"/>
  <c r="B132" i="6"/>
  <c r="C132" i="6" s="1"/>
  <c r="D203" i="5"/>
  <c r="E203" i="5" s="1"/>
  <c r="E200" i="5"/>
  <c r="C14" i="4"/>
  <c r="D12" i="4"/>
  <c r="F26" i="1"/>
  <c r="G26" i="1" s="1"/>
  <c r="C26" i="1"/>
  <c r="G172" i="8" l="1"/>
  <c r="H172" i="8" s="1"/>
  <c r="G169" i="8"/>
  <c r="H169" i="8" s="1"/>
  <c r="B103" i="8"/>
  <c r="G103" i="8" s="1"/>
  <c r="H103" i="8" s="1"/>
  <c r="G102" i="8"/>
  <c r="H102" i="8" s="1"/>
  <c r="D42" i="8"/>
  <c r="B48" i="8"/>
  <c r="B22" i="8"/>
  <c r="D22" i="8" s="1"/>
  <c r="C76" i="6"/>
  <c r="B68" i="6" s="1"/>
  <c r="C134" i="6"/>
  <c r="C16" i="4"/>
  <c r="D14" i="4"/>
  <c r="B104" i="8" l="1"/>
  <c r="G104" i="8" s="1"/>
  <c r="H104" i="8" s="1"/>
  <c r="D48" i="8"/>
  <c r="B49" i="8"/>
  <c r="D16" i="4"/>
  <c r="C19" i="4"/>
  <c r="D19" i="4" s="1"/>
  <c r="D50" i="8" l="1"/>
  <c r="D49" i="8"/>
  <c r="D53" i="8" l="1"/>
</calcChain>
</file>

<file path=xl/sharedStrings.xml><?xml version="1.0" encoding="utf-8"?>
<sst xmlns="http://schemas.openxmlformats.org/spreadsheetml/2006/main" count="1087" uniqueCount="504">
  <si>
    <t>1.</t>
  </si>
  <si>
    <t>Myynti</t>
  </si>
  <si>
    <t>Liikevaihto</t>
  </si>
  <si>
    <t>Ainekäyttö</t>
  </si>
  <si>
    <t>Myyntikate</t>
  </si>
  <si>
    <t>3.</t>
  </si>
  <si>
    <t>a)</t>
  </si>
  <si>
    <t>yht.</t>
  </si>
  <si>
    <t>b)</t>
  </si>
  <si>
    <t>Yht.</t>
  </si>
  <si>
    <t>alko</t>
  </si>
  <si>
    <t>ruoka</t>
  </si>
  <si>
    <t>myynti</t>
  </si>
  <si>
    <t>liva</t>
  </si>
  <si>
    <t>ak</t>
  </si>
  <si>
    <t>ostot</t>
  </si>
  <si>
    <t>myka</t>
  </si>
  <si>
    <t>myka-%</t>
  </si>
  <si>
    <t>alkuv.</t>
  </si>
  <si>
    <t>loppuv.</t>
  </si>
  <si>
    <t>keskim.varasto</t>
  </si>
  <si>
    <t>Varaston kn = ainekäyttö / keskimääräinen varasto</t>
  </si>
  <si>
    <t>kertaa vuodessa</t>
  </si>
  <si>
    <t>Varastointiaika = 365 / varaston kn</t>
  </si>
  <si>
    <t>vuorokautta</t>
  </si>
  <si>
    <t>Ainekäyttö / vrk</t>
  </si>
  <si>
    <t>Varastointiaika = keskim.varasto / vrk:n ainekäyttö</t>
  </si>
  <si>
    <t>Varaston arvo = 9 vrk:n ainekäyttö</t>
  </si>
  <si>
    <t>€</t>
  </si>
  <si>
    <t>Liva</t>
  </si>
  <si>
    <t>Ak</t>
  </si>
  <si>
    <t>Myka</t>
  </si>
  <si>
    <t>Varaston arvo = 8 vrk:n ainekäyttö</t>
  </si>
  <si>
    <t>Ainekäyttö / v</t>
  </si>
  <si>
    <t>Varasto keskim.</t>
  </si>
  <si>
    <t>Varastointiaika nyt = keskim. varasto / vrk:n ainekäyttö</t>
  </si>
  <si>
    <t>vrk</t>
  </si>
  <si>
    <t>Jolloin pääomaa vapautuu varastosta muuhun käyttöön</t>
  </si>
  <si>
    <t>Raaka-ainekäyttö / v = annosmäärä * raaka-aine/annos</t>
  </si>
  <si>
    <t>Raaka-ainekäyttö / vrk</t>
  </si>
  <si>
    <t>Keskim. raaka-ainevarasto = 6 vrk:n raaka-ainekäyttö</t>
  </si>
  <si>
    <t>Valmistuksen jälkeen tuotteen arvo 2€ + 0,5€</t>
  </si>
  <si>
    <t>Valmistuksen arvo / v = 900000*2,5</t>
  </si>
  <si>
    <t>Valmista tuotetta / vrk</t>
  </si>
  <si>
    <t>Valmisvarasto = 25 vrk:n tuotanto</t>
  </si>
  <si>
    <t>Raaka-ainevarasto ja valmisvarasto yht.</t>
  </si>
  <si>
    <t>2.</t>
  </si>
  <si>
    <t>Ruoka (60%)</t>
  </si>
  <si>
    <t>Alko (40%)</t>
  </si>
  <si>
    <t>alkuvarasto (alv 0%)</t>
  </si>
  <si>
    <t>ostot (alv 0%)</t>
  </si>
  <si>
    <t>ainekäyttö (alv 0%)</t>
  </si>
  <si>
    <t>./. loppuvarasto (alv 0%)</t>
  </si>
  <si>
    <t>ostot al-verollinen</t>
  </si>
  <si>
    <t>ainekäyttö (al-verollinen)</t>
  </si>
  <si>
    <t>Ainekäyttö (al-veroton)</t>
  </si>
  <si>
    <t>alkuvarasto (al-verollinen)</t>
  </si>
  <si>
    <t>ostot (al-verollinen)</t>
  </si>
  <si>
    <t>./. Loppuvarasto (al-verollinen)</t>
  </si>
  <si>
    <t>alkuvarasto (al-veroton)</t>
  </si>
  <si>
    <t>ostot (al-veroton)</t>
  </si>
  <si>
    <t>./. loppuvarasto (al-veroton)</t>
  </si>
  <si>
    <t>ainekäyttö (al-veroton)</t>
  </si>
  <si>
    <t>alkuvarasto</t>
  </si>
  <si>
    <t>loppuvarasto</t>
  </si>
  <si>
    <t>Ainekäyttö / kk (30vrk)</t>
  </si>
  <si>
    <t>Uusi varaston arvo = (11-3) vrk:n ainekäyttö</t>
  </si>
  <si>
    <t>Myynnin alv</t>
  </si>
  <si>
    <t>Raaka-ainekäyttö</t>
  </si>
  <si>
    <t>Henkilöstökulut</t>
  </si>
  <si>
    <t>Palkkakate</t>
  </si>
  <si>
    <t xml:space="preserve">Hallinto &amp; markkinointi   </t>
  </si>
  <si>
    <t>Muut toimintakulut</t>
  </si>
  <si>
    <t>Vastuukate</t>
  </si>
  <si>
    <t xml:space="preserve">Vuokrat                          </t>
  </si>
  <si>
    <t>Käyttökate</t>
  </si>
  <si>
    <t>Poistot</t>
  </si>
  <si>
    <t>Liikevoitto</t>
  </si>
  <si>
    <t>Korot</t>
  </si>
  <si>
    <t>Verot</t>
  </si>
  <si>
    <t>Tilikauden voitto</t>
  </si>
  <si>
    <t>Työtunnin hinta sivukuluineen</t>
  </si>
  <si>
    <t>Myynti/asp/kk =</t>
  </si>
  <si>
    <t>Myynti/tt =</t>
  </si>
  <si>
    <t>Myynti/työnt./vuosi =</t>
  </si>
  <si>
    <t>Keskiostos =</t>
  </si>
  <si>
    <t>Asiakspaikkakierto/pv =</t>
  </si>
  <si>
    <t>Varastointiaika (vrk) =</t>
  </si>
  <si>
    <t>Henkilötyövuodet = (12*2500)/1600</t>
  </si>
  <si>
    <t>Varaston kiertonopeus/vuosi =</t>
  </si>
  <si>
    <t>Majoitus</t>
  </si>
  <si>
    <t>Ravintola</t>
  </si>
  <si>
    <t>Hlökulut</t>
  </si>
  <si>
    <t>Vuokrat</t>
  </si>
  <si>
    <t>muut kikut</t>
  </si>
  <si>
    <t>Tunnin hinta €</t>
  </si>
  <si>
    <t>Tuntimäärät h</t>
  </si>
  <si>
    <t>Myynti/tt</t>
  </si>
  <si>
    <t>huonemäärä/asp määrä</t>
  </si>
  <si>
    <t>liiketila m2</t>
  </si>
  <si>
    <t>myydyt huoneet</t>
  </si>
  <si>
    <t>aspaikkakierto/vrk</t>
  </si>
  <si>
    <t>huonekäyttöaste</t>
  </si>
  <si>
    <t>myynti/asp/vrk/€</t>
  </si>
  <si>
    <t>kaksoiskäyttöaste</t>
  </si>
  <si>
    <t>myynti/m2/vrk/€</t>
  </si>
  <si>
    <t>vuodekäyttöaste</t>
  </si>
  <si>
    <t>vuokra/m2/kk/€</t>
  </si>
  <si>
    <t>keskim. viipymä vrk</t>
  </si>
  <si>
    <t>Huoneen kh/ as keskiostos</t>
  </si>
  <si>
    <t>keskiostos /€</t>
  </si>
  <si>
    <t>varastointiaika vrk</t>
  </si>
  <si>
    <t>asiakasmäärä</t>
  </si>
  <si>
    <t>yöpymisvuorokaudet</t>
  </si>
  <si>
    <t>RevPAR €</t>
  </si>
  <si>
    <t>varaston arvo</t>
  </si>
  <si>
    <t>Työvoimakulut</t>
  </si>
  <si>
    <t>Muut käyttökulut</t>
  </si>
  <si>
    <t>Asiakasmäärä</t>
  </si>
  <si>
    <t>Keskiostos (al-veroton)</t>
  </si>
  <si>
    <t>Tammikuu:</t>
  </si>
  <si>
    <t>Helmikuu:</t>
  </si>
  <si>
    <t>%</t>
  </si>
  <si>
    <t>Palkat</t>
  </si>
  <si>
    <t>vanha</t>
  </si>
  <si>
    <t>maj.liva/vk €</t>
  </si>
  <si>
    <t>ravintolaliva/vk €</t>
  </si>
  <si>
    <t>viikkoja</t>
  </si>
  <si>
    <t>ravintolan ainekäyttö-%</t>
  </si>
  <si>
    <t>Liva maj.</t>
  </si>
  <si>
    <t>Liva rav.</t>
  </si>
  <si>
    <t>Mukut</t>
  </si>
  <si>
    <t>Ra-aineet</t>
  </si>
  <si>
    <t>Liinav</t>
  </si>
  <si>
    <t>Siivous</t>
  </si>
  <si>
    <t>Kiku</t>
  </si>
  <si>
    <t>H&amp;M</t>
  </si>
  <si>
    <t>Tulos</t>
  </si>
  <si>
    <t>asiakkaita / vk</t>
  </si>
  <si>
    <t>huoneet/asiakkaat</t>
  </si>
  <si>
    <t>liva/asiakas</t>
  </si>
  <si>
    <t>Helmikuu</t>
  </si>
  <si>
    <t>rav. liva</t>
  </si>
  <si>
    <t>maj. rav. liva</t>
  </si>
  <si>
    <t>koko liva</t>
  </si>
  <si>
    <t>Maaliskuu</t>
  </si>
  <si>
    <t>myytyjä huoneita</t>
  </si>
  <si>
    <t>yöpymisiä</t>
  </si>
  <si>
    <t>ravintola-asiakkaita</t>
  </si>
  <si>
    <t>Palkat osa-aikaiset</t>
  </si>
  <si>
    <t>Palkat kiinteät</t>
  </si>
  <si>
    <t>Huoneita</t>
  </si>
  <si>
    <t>Rav. paikkoja</t>
  </si>
  <si>
    <t>Tammikuu (päiviä)</t>
  </si>
  <si>
    <t>Huonekäyttöaste</t>
  </si>
  <si>
    <t>Myydyt huoneet</t>
  </si>
  <si>
    <t>Siivous €/huone</t>
  </si>
  <si>
    <t>Asiakasp.krto/vrk</t>
  </si>
  <si>
    <t>Rav. asiakasmäärä</t>
  </si>
  <si>
    <t>Keskiostos €</t>
  </si>
  <si>
    <t>Tuloslaskelma</t>
  </si>
  <si>
    <t>Operat. kulut</t>
  </si>
  <si>
    <t>Rav. raaka-aine</t>
  </si>
  <si>
    <t>Maj. työvoima</t>
  </si>
  <si>
    <t>Rav. työvoima</t>
  </si>
  <si>
    <t>Kiint. vuokra ja leas.</t>
  </si>
  <si>
    <t>Maj. siivous</t>
  </si>
  <si>
    <t>Kiint. markk., hall.</t>
  </si>
  <si>
    <t>Tammikuu</t>
  </si>
  <si>
    <t>Keskihuonehinta</t>
  </si>
  <si>
    <t>Myydyt pv-liput hiihtoh.</t>
  </si>
  <si>
    <t>Pv-lipun keskihinta</t>
  </si>
  <si>
    <t>Kiint. hiihtohissi</t>
  </si>
  <si>
    <t>Marraskuu</t>
  </si>
  <si>
    <t>Joulukuu</t>
  </si>
  <si>
    <t>Myyntipäivät</t>
  </si>
  <si>
    <t>Aineet ja tarvikkeet</t>
  </si>
  <si>
    <t>Työtunnin hinta €</t>
  </si>
  <si>
    <t>Työtunteja</t>
  </si>
  <si>
    <t>Myynti/työtunti €</t>
  </si>
  <si>
    <t>al-verollinen</t>
  </si>
  <si>
    <t>al-veroton</t>
  </si>
  <si>
    <t>Lounaan hinta</t>
  </si>
  <si>
    <t>Raaka-aineet</t>
  </si>
  <si>
    <t>Myyntikate/annos</t>
  </si>
  <si>
    <t>Myyntikatetavoite</t>
  </si>
  <si>
    <t>Vuokra</t>
  </si>
  <si>
    <t>Hall., markk, ym</t>
  </si>
  <si>
    <t>Tulostavoite</t>
  </si>
  <si>
    <t>asiakasmäärä/pv (21 työpaivää)</t>
  </si>
  <si>
    <t>tarvittava asiakasmäärä/kk</t>
  </si>
  <si>
    <t>josta myynti</t>
  </si>
  <si>
    <t>Työtunnit</t>
  </si>
  <si>
    <t>Myynti/työtunti €/tt</t>
  </si>
  <si>
    <t>Ra-ainekäyttö</t>
  </si>
  <si>
    <t>Työvoimakulut/tunti €</t>
  </si>
  <si>
    <t>Vakituisten tunnit</t>
  </si>
  <si>
    <t>Ekstrojen tunnit</t>
  </si>
  <si>
    <t>Uusi my/tt</t>
  </si>
  <si>
    <t>Säästö työvoimakuluissa</t>
  </si>
  <si>
    <t>Säästö prosenttia</t>
  </si>
  <si>
    <t>Säästö %-yksikköä</t>
  </si>
  <si>
    <t>Työvoima-</t>
  </si>
  <si>
    <t>Asp kpl</t>
  </si>
  <si>
    <t>Auki h</t>
  </si>
  <si>
    <t>Myynti-%</t>
  </si>
  <si>
    <t>Myka 68%</t>
  </si>
  <si>
    <t>kulut 28%</t>
  </si>
  <si>
    <t>ma</t>
  </si>
  <si>
    <t>ti</t>
  </si>
  <si>
    <t>ke</t>
  </si>
  <si>
    <t>to</t>
  </si>
  <si>
    <t>pe</t>
  </si>
  <si>
    <t>la</t>
  </si>
  <si>
    <t>su</t>
  </si>
  <si>
    <t>Työvoimakulut/h</t>
  </si>
  <si>
    <t>Työtunnit / vk</t>
  </si>
  <si>
    <t>työtuntia</t>
  </si>
  <si>
    <t>Myynti/työtunti</t>
  </si>
  <si>
    <t>€ / työtunti</t>
  </si>
  <si>
    <t>c)</t>
  </si>
  <si>
    <t>Vakituisten työtunnit</t>
  </si>
  <si>
    <t>Extrat loput</t>
  </si>
  <si>
    <t>d)</t>
  </si>
  <si>
    <t>Uusi myynti/työtunti</t>
  </si>
  <si>
    <t>Tarvitaan työtunteja</t>
  </si>
  <si>
    <t>Extrojentyötunnit</t>
  </si>
  <si>
    <t>Työvoimakulut / h</t>
  </si>
  <si>
    <t>Palkkakatteen parannus €:na</t>
  </si>
  <si>
    <t>e)</t>
  </si>
  <si>
    <t>työtunnit</t>
  </si>
  <si>
    <t>As. kpl</t>
  </si>
  <si>
    <t>Keski-</t>
  </si>
  <si>
    <t>Mti/asp</t>
  </si>
  <si>
    <t>Aspkierto</t>
  </si>
  <si>
    <t>Myynti / tt</t>
  </si>
  <si>
    <t>ostos</t>
  </si>
  <si>
    <t>kulut</t>
  </si>
  <si>
    <t>Ma</t>
  </si>
  <si>
    <t>Ti</t>
  </si>
  <si>
    <t>Ke</t>
  </si>
  <si>
    <t>To</t>
  </si>
  <si>
    <t>Pe</t>
  </si>
  <si>
    <t>La</t>
  </si>
  <si>
    <t>Su</t>
  </si>
  <si>
    <t>Pikatuloslaskelma</t>
  </si>
  <si>
    <t>Myyntibudjetti</t>
  </si>
  <si>
    <t>Käytettävissä olevat huoneet</t>
  </si>
  <si>
    <t>Käytettävissä olevat /vuosi</t>
  </si>
  <si>
    <t>Päättyvä tilikausi</t>
  </si>
  <si>
    <t>Asiakassegmentti</t>
  </si>
  <si>
    <t>Yritykset</t>
  </si>
  <si>
    <t>Ryhmät</t>
  </si>
  <si>
    <t>Lentoyhtiöt</t>
  </si>
  <si>
    <t>Yhteensä</t>
  </si>
  <si>
    <t>Osuus huoneista</t>
  </si>
  <si>
    <t>Alennus listahinnasta</t>
  </si>
  <si>
    <t>Majoitus liikevaihto</t>
  </si>
  <si>
    <t>Uusi tilikausi</t>
  </si>
  <si>
    <t>Yksittäiset</t>
  </si>
  <si>
    <t>Aamiainen</t>
  </si>
  <si>
    <t>Yht</t>
  </si>
  <si>
    <t>Kaksoiskäyttöaste</t>
  </si>
  <si>
    <t>Yöpyviä asiakkaita</t>
  </si>
  <si>
    <t>Viikonpäiviä kpl lokakuussa</t>
  </si>
  <si>
    <t>Myytäviä aamiaisia kpl</t>
  </si>
  <si>
    <t>Lounaat paikalliset</t>
  </si>
  <si>
    <t>Kokouslounaat</t>
  </si>
  <si>
    <t>Listaruoka</t>
  </si>
  <si>
    <t>Hotelliasiakkaat</t>
  </si>
  <si>
    <t>Ulkopuoliset</t>
  </si>
  <si>
    <t>Myytäviä lounaita kpl</t>
  </si>
  <si>
    <t>Lounas</t>
  </si>
  <si>
    <t>Al-verottomat hinnat / keskiostot</t>
  </si>
  <si>
    <t>Alkoholit</t>
  </si>
  <si>
    <t>Myyntibudjetti, liikevaihdot</t>
  </si>
  <si>
    <t>Liikevaihto yhteensä</t>
  </si>
  <si>
    <t>Listaruoka-asiakkaita yhteensä</t>
  </si>
  <si>
    <t>Alkoholi</t>
  </si>
  <si>
    <t>1.5.-30.9.</t>
  </si>
  <si>
    <t>1.10.-30.4.</t>
  </si>
  <si>
    <t>Huonemäärä</t>
  </si>
  <si>
    <t>Myyntipäiviä</t>
  </si>
  <si>
    <t>Al-veroton huonehinta</t>
  </si>
  <si>
    <t>Al-veroton aamiaishinta</t>
  </si>
  <si>
    <t>Myytyjä aamiaisia</t>
  </si>
  <si>
    <t>Huoneliikevaihto</t>
  </si>
  <si>
    <t>Aamiaisliikevaihto</t>
  </si>
  <si>
    <t>Aamiaisen raaka-aineet</t>
  </si>
  <si>
    <t>Muut toiminnalliset kulut</t>
  </si>
  <si>
    <t>1.1.- 30.6.</t>
  </si>
  <si>
    <t>ykköset</t>
  </si>
  <si>
    <t>kakkoset</t>
  </si>
  <si>
    <t>yht</t>
  </si>
  <si>
    <t>huonemäärä</t>
  </si>
  <si>
    <t>myyntipäivät</t>
  </si>
  <si>
    <t>1.7.-31.12.</t>
  </si>
  <si>
    <t>Yöpyjiä</t>
  </si>
  <si>
    <t>Myydyt huoneet yht</t>
  </si>
  <si>
    <t>Yöpymisvuorokausia</t>
  </si>
  <si>
    <t>Aamiaisia kpl</t>
  </si>
  <si>
    <t>Liikevaihto huoneet</t>
  </si>
  <si>
    <t>Liikevaihto aamiaiset</t>
  </si>
  <si>
    <t>Liikevaihto yht</t>
  </si>
  <si>
    <t>Ravintolan muuttuvat</t>
  </si>
  <si>
    <t>Majoitus muuttuvat</t>
  </si>
  <si>
    <t>Kiinteät kulut</t>
  </si>
  <si>
    <t>Aamiaisia yöpyjistä</t>
  </si>
  <si>
    <t>Tulos ennen veroja</t>
  </si>
  <si>
    <t>Liikelounas</t>
  </si>
  <si>
    <t>Hinta</t>
  </si>
  <si>
    <t>My/tt</t>
  </si>
  <si>
    <t>Alko</t>
  </si>
  <si>
    <t>touko</t>
  </si>
  <si>
    <t>kesä</t>
  </si>
  <si>
    <t>heinä</t>
  </si>
  <si>
    <t>elo</t>
  </si>
  <si>
    <t>syys</t>
  </si>
  <si>
    <t>Asiakkaita / pv</t>
  </si>
  <si>
    <t>Lounaat 40%</t>
  </si>
  <si>
    <t>Päivälliset 60%</t>
  </si>
  <si>
    <t>Lounashinta veroton</t>
  </si>
  <si>
    <t>Päivällishinta veroton</t>
  </si>
  <si>
    <t>Kiinteät toimintakulut</t>
  </si>
  <si>
    <t>Asikasmäärät</t>
  </si>
  <si>
    <t xml:space="preserve">Myydyt </t>
  </si>
  <si>
    <t>huoneet</t>
  </si>
  <si>
    <t>Yöpyjät</t>
  </si>
  <si>
    <t>Aamiaiset</t>
  </si>
  <si>
    <t>Sopimus</t>
  </si>
  <si>
    <t>Kokous</t>
  </si>
  <si>
    <t>Hot.as.</t>
  </si>
  <si>
    <t>Walk-in</t>
  </si>
  <si>
    <t>Liikevaihdot</t>
  </si>
  <si>
    <t>Kaikki</t>
  </si>
  <si>
    <t>Juoma</t>
  </si>
  <si>
    <t>Lista</t>
  </si>
  <si>
    <t>19 € / t</t>
  </si>
  <si>
    <t>Al-veroton</t>
  </si>
  <si>
    <t>lounas</t>
  </si>
  <si>
    <t>Lounaat</t>
  </si>
  <si>
    <t>yöpyjät</t>
  </si>
  <si>
    <t>aamiaiset</t>
  </si>
  <si>
    <t>ryhmä</t>
  </si>
  <si>
    <t>Myyntihinta</t>
  </si>
  <si>
    <t>ulkopuoliset</t>
  </si>
  <si>
    <t>kokous</t>
  </si>
  <si>
    <t>sopimus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</si>
  <si>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</si>
  <si>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</si>
  <si>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</si>
  <si>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</si>
  <si>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</si>
  <si>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</si>
  <si>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</si>
  <si>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</si>
  <si>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</si>
  <si>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</si>
  <si>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</si>
  <si>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</si>
  <si>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</si>
  <si>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</si>
  <si>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 Ravintola Valkoinen Peura</t>
  </si>
  <si>
    <t>3.16. Hotelli Manta</t>
  </si>
  <si>
    <t>3.18. Hotelli</t>
  </si>
  <si>
    <t>3.17. Toimipaikkaravintola</t>
  </si>
  <si>
    <t>Majoitusliikevaihto</t>
  </si>
  <si>
    <t>Ravintolaliikevaihto</t>
  </si>
  <si>
    <t>Tuotot:</t>
  </si>
  <si>
    <t>Kulut:</t>
  </si>
  <si>
    <t>Ravintolan raaka-aineet</t>
  </si>
  <si>
    <t>Vuokra kiinteä</t>
  </si>
  <si>
    <t>Vuokra muuttuva</t>
  </si>
  <si>
    <t>Huonesiivous</t>
  </si>
  <si>
    <t>Hallinto, markkinointi</t>
  </si>
  <si>
    <t>Hallinto, markkinointi, muut</t>
  </si>
  <si>
    <t>3.19. Saariston matkailukeskus</t>
  </si>
  <si>
    <t>3.20. Hotelli</t>
  </si>
  <si>
    <t>Liinavaatteet</t>
  </si>
  <si>
    <t>Siivous, sähkö</t>
  </si>
  <si>
    <t>Katetuotto</t>
  </si>
  <si>
    <t>Kiinteät kulut:</t>
  </si>
  <si>
    <t>Huhtikuu</t>
  </si>
  <si>
    <t>Rav. raaka-aineet</t>
  </si>
  <si>
    <t>liikevaihto/asiakas</t>
  </si>
  <si>
    <t>3.21. Matkailukeskus helmikuu-maaliskuu</t>
  </si>
  <si>
    <t>yksiköt</t>
  </si>
  <si>
    <t>€/yksikkö</t>
  </si>
  <si>
    <t>Ohjelmapalvelut</t>
  </si>
  <si>
    <t>Ravintolan raaka-ainnet</t>
  </si>
  <si>
    <t>Majoituksen huonesiivous</t>
  </si>
  <si>
    <t>Ohjelmapalvelujen alih.</t>
  </si>
  <si>
    <t>Palkat majoitus, ravintolat</t>
  </si>
  <si>
    <t>Siiv., energ., vesi, muuttuva</t>
  </si>
  <si>
    <t>Siiv., energ., vesi, kiinteä</t>
  </si>
  <si>
    <t>Yhteensä liikevaihto</t>
  </si>
  <si>
    <t>3.22. Hotelli Juntusranta</t>
  </si>
  <si>
    <t>Asiaksenergia, -vesi, -tarv.</t>
  </si>
  <si>
    <t>Hallinto, markk., kiinteistö</t>
  </si>
  <si>
    <t>3.23. Hotelli-Ravintola Kuukkelinpesä</t>
  </si>
  <si>
    <t>Keskihuonehinta € (alv 0%)</t>
  </si>
  <si>
    <t>Asiakasp.kierto/vrk</t>
  </si>
  <si>
    <t>Ravintolan asiakasmäärä</t>
  </si>
  <si>
    <t>Keskiostos (alv 0%) ravint. €</t>
  </si>
  <si>
    <t>Ravintola liikevaihto</t>
  </si>
  <si>
    <t>Operatiiviset kulut</t>
  </si>
  <si>
    <t>Hallinto, markkinointi kiinteät</t>
  </si>
  <si>
    <t>Hiihtohissit liikevaihto</t>
  </si>
  <si>
    <t>3.24. Äkäslompolon hiihtokeskus</t>
  </si>
  <si>
    <t>3.25. Lounasravintola</t>
  </si>
  <si>
    <t>3.26. Toimipaikkaravintola</t>
  </si>
  <si>
    <t>3.27. Ravintola</t>
  </si>
  <si>
    <t>Myynti r70%/a30%</t>
  </si>
  <si>
    <t>3.28. Ravintola Patarouva, myynti ruoka 60% / alkoholi 40%</t>
  </si>
  <si>
    <t>3.29. Ravintola Kuukkeli</t>
  </si>
  <si>
    <t>3.30. Hotelli Metropoli</t>
  </si>
  <si>
    <t>Listahinta (ilman alv)</t>
  </si>
  <si>
    <t>Nettohinta (ilman alv)</t>
  </si>
  <si>
    <t>3.31. Ravintola Valpuri</t>
  </si>
  <si>
    <t>Yöpymisiä</t>
  </si>
  <si>
    <t>3.32. Motelli Kurjenpesä</t>
  </si>
  <si>
    <t>3.33. Karita Guttorm Kautokeinon Motelli</t>
  </si>
  <si>
    <t>3.34. Ravintola Maalaislammas</t>
  </si>
  <si>
    <t>Asiakkaita</t>
  </si>
  <si>
    <t>€ / tt</t>
  </si>
  <si>
    <t>3.35. Saariston Sirkka</t>
  </si>
  <si>
    <t>Asiakkaita yhteensä</t>
  </si>
  <si>
    <t>Alkoholi veroton</t>
  </si>
  <si>
    <t>Liikevaihto lounas</t>
  </si>
  <si>
    <t>Liikevaihto päivällinen</t>
  </si>
  <si>
    <t>Liikevaihto alkoholi</t>
  </si>
  <si>
    <t>Tilikauden tulos</t>
  </si>
  <si>
    <t>Tuloverot</t>
  </si>
  <si>
    <t>hot.asiakkaat</t>
  </si>
  <si>
    <t>3.36. Ravintola Lentävä Kalakukko</t>
  </si>
  <si>
    <t>Myynnit</t>
  </si>
  <si>
    <t>Myyntibudjetti:</t>
  </si>
  <si>
    <t>Asiakaspaikkoja</t>
  </si>
  <si>
    <t>3.37. Ravintola Haagis</t>
  </si>
  <si>
    <t>kpl</t>
  </si>
  <si>
    <t>paikalliset</t>
  </si>
  <si>
    <t>walk-in</t>
  </si>
  <si>
    <t>juoma</t>
  </si>
  <si>
    <t>Työ-</t>
  </si>
  <si>
    <t>tunnit</t>
  </si>
  <si>
    <t>3.38. Ravintola Villisika</t>
  </si>
  <si>
    <t>Ainekäyttö ja työvoimankäyttö budjetti</t>
  </si>
  <si>
    <t>Listaruoka annosmäärät</t>
  </si>
  <si>
    <t>Lounas annokset</t>
  </si>
  <si>
    <t>Myyntibudjetti: Liikevaihdot</t>
  </si>
  <si>
    <t>liikevaihto</t>
  </si>
  <si>
    <t>Aamiais</t>
  </si>
  <si>
    <t>ma-pe 160</t>
  </si>
  <si>
    <t>Paikalliset</t>
  </si>
  <si>
    <t>Lounas liikevaihto ja ainekäyttö</t>
  </si>
  <si>
    <t>Työvoima</t>
  </si>
  <si>
    <t>Kokonaisbudjetti</t>
  </si>
  <si>
    <t>Tarvikkeet ym.</t>
  </si>
  <si>
    <t>Hallinto ym.</t>
  </si>
  <si>
    <t>Markkinointi</t>
  </si>
  <si>
    <t>Listaruoka ja juoma</t>
  </si>
  <si>
    <t>Ruoka liva</t>
  </si>
  <si>
    <t>Juoma liva</t>
  </si>
  <si>
    <t>3.39. Möhkön Lomakylä</t>
  </si>
  <si>
    <t>Toukokuu</t>
  </si>
  <si>
    <t>Kesäkuu</t>
  </si>
  <si>
    <t>Heinäkuu</t>
  </si>
  <si>
    <t>Elokuu</t>
  </si>
  <si>
    <t>Syyskuu</t>
  </si>
  <si>
    <t>Myytyjä huoneita</t>
  </si>
  <si>
    <t>Yöpymisten määrä</t>
  </si>
  <si>
    <t xml:space="preserve">Ohikulkijat </t>
  </si>
  <si>
    <t>Pizza/hampurilainen kpl</t>
  </si>
  <si>
    <t>Viinilasi kpl</t>
  </si>
  <si>
    <t>Kalastusluvat kpl</t>
  </si>
  <si>
    <t>Huonehinta (al-veroton)</t>
  </si>
  <si>
    <t>Alennus-%</t>
  </si>
  <si>
    <t>Myyntihinta (al-veroton)</t>
  </si>
  <si>
    <t>Pizza/Hampur. (al-veroton)</t>
  </si>
  <si>
    <t>Viinilasi (al-veroton)</t>
  </si>
  <si>
    <t>Kalastuslupa (al-veroton)</t>
  </si>
  <si>
    <t>Virvoitusjuoma (al-veroton)</t>
  </si>
  <si>
    <t>Olut (al-veroton)</t>
  </si>
  <si>
    <t>Myyntimäärät</t>
  </si>
  <si>
    <t>Tulossuunnitelma</t>
  </si>
  <si>
    <t>Liikevaihto majoitus</t>
  </si>
  <si>
    <t>Liikevaihto Pizza/Hampuril.</t>
  </si>
  <si>
    <t>Liikevaihto Olut</t>
  </si>
  <si>
    <t>Liikevaihto Viini</t>
  </si>
  <si>
    <t>Liikevaihto Virvoitusjuomat</t>
  </si>
  <si>
    <t>Liikevaihto kalastusluvat</t>
  </si>
  <si>
    <t>Liikevaihto peliautomaatit</t>
  </si>
  <si>
    <t>Ainekäyttö ruoka</t>
  </si>
  <si>
    <t>Aamiaisten määrä</t>
  </si>
  <si>
    <t>Aamiainen (al-veroton)</t>
  </si>
  <si>
    <t>Liikevaihto aamiainen</t>
  </si>
  <si>
    <t>Ainekäyttö juomat</t>
  </si>
  <si>
    <t>Energia</t>
  </si>
  <si>
    <t>Ravintola siivous ym.</t>
  </si>
  <si>
    <t>Kala-altaat huolto</t>
  </si>
  <si>
    <t>Hallinto, markkinointi, kiint.</t>
  </si>
  <si>
    <t>Kulut yhteensä</t>
  </si>
  <si>
    <t>Tulovero</t>
  </si>
  <si>
    <t>Al-verottomat hinnat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</si>
</sst>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\ %"/>
    <numFmt numFmtId="166" formatCode="#,##0_);\(#,##0\)"/>
    <numFmt numFmtId="167" formatCode="0.0%"/>
    <numFmt numFmtId="168" formatCode="#,##0.00_);\(#,##0.00\)"/>
    <numFmt numFmtId="169" formatCode="0%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1"/>
      <name val="Arial MT"/>
    </font>
    <font>
      <b/>
      <sz val="11"/>
      <name val="Arial MT"/>
    </font>
    <font>
      <sz val="11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5" fontId="6" fillId="0" borderId="0" xfId="0" applyNumberFormat="1" applyFont="1"/>
    <xf numFmtId="9" fontId="6" fillId="0" borderId="0" xfId="0" applyNumberFormat="1" applyFont="1"/>
    <xf numFmtId="0" fontId="5" fillId="0" borderId="0" xfId="0" applyFont="1" applyAlignment="1">
      <alignment horizontal="center"/>
    </xf>
    <xf numFmtId="1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9" fontId="8" fillId="0" borderId="1" xfId="0" applyNumberFormat="1" applyFont="1" applyBorder="1"/>
    <xf numFmtId="0" fontId="8" fillId="0" borderId="1" xfId="0" applyFont="1" applyBorder="1"/>
    <xf numFmtId="1" fontId="8" fillId="0" borderId="1" xfId="0" applyNumberFormat="1" applyFont="1" applyBorder="1"/>
    <xf numFmtId="1" fontId="7" fillId="0" borderId="1" xfId="0" applyNumberFormat="1" applyFont="1" applyBorder="1"/>
    <xf numFmtId="1" fontId="8" fillId="0" borderId="0" xfId="0" applyNumberFormat="1" applyFont="1"/>
    <xf numFmtId="1" fontId="7" fillId="0" borderId="0" xfId="0" applyNumberFormat="1" applyFont="1"/>
    <xf numFmtId="2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0" xfId="1" applyNumberFormat="1" applyFont="1" applyBorder="1"/>
    <xf numFmtId="1" fontId="6" fillId="0" borderId="1" xfId="0" applyNumberFormat="1" applyFont="1" applyBorder="1"/>
    <xf numFmtId="0" fontId="6" fillId="0" borderId="1" xfId="0" applyFont="1" applyBorder="1"/>
    <xf numFmtId="165" fontId="6" fillId="0" borderId="1" xfId="1" applyNumberFormat="1" applyFont="1" applyBorder="1"/>
    <xf numFmtId="165" fontId="6" fillId="0" borderId="1" xfId="0" applyNumberFormat="1" applyFont="1" applyBorder="1"/>
    <xf numFmtId="0" fontId="5" fillId="0" borderId="0" xfId="0" applyFont="1" applyAlignment="1">
      <alignment horizontal="left"/>
    </xf>
    <xf numFmtId="0" fontId="5" fillId="0" borderId="1" xfId="0" applyFont="1" applyBorder="1"/>
    <xf numFmtId="1" fontId="5" fillId="0" borderId="1" xfId="0" applyNumberFormat="1" applyFont="1" applyBorder="1"/>
    <xf numFmtId="2" fontId="6" fillId="0" borderId="1" xfId="0" applyNumberFormat="1" applyFont="1" applyBorder="1"/>
    <xf numFmtId="1" fontId="5" fillId="0" borderId="0" xfId="0" applyNumberFormat="1" applyFont="1"/>
    <xf numFmtId="165" fontId="5" fillId="0" borderId="0" xfId="0" applyNumberFormat="1" applyFont="1"/>
    <xf numFmtId="165" fontId="6" fillId="0" borderId="0" xfId="1" applyNumberFormat="1" applyFont="1"/>
    <xf numFmtId="9" fontId="5" fillId="0" borderId="0" xfId="0" applyNumberFormat="1" applyFont="1"/>
    <xf numFmtId="1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65" fontId="5" fillId="0" borderId="0" xfId="1" applyNumberFormat="1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right"/>
    </xf>
    <xf numFmtId="9" fontId="6" fillId="0" borderId="0" xfId="0" applyNumberFormat="1" applyFont="1" applyAlignment="1">
      <alignment horizontal="right"/>
    </xf>
    <xf numFmtId="9" fontId="6" fillId="0" borderId="0" xfId="0" applyNumberFormat="1" applyFont="1" applyAlignment="1">
      <alignment horizontal="center"/>
    </xf>
    <xf numFmtId="9" fontId="6" fillId="0" borderId="0" xfId="1" applyFont="1"/>
    <xf numFmtId="9" fontId="5" fillId="0" borderId="0" xfId="1" applyFont="1"/>
    <xf numFmtId="165" fontId="5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9" fontId="6" fillId="0" borderId="0" xfId="0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64" fontId="5" fillId="0" borderId="0" xfId="0" applyNumberFormat="1" applyFont="1"/>
    <xf numFmtId="1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" fontId="5" fillId="0" borderId="0" xfId="0" applyNumberFormat="1" applyFont="1" applyAlignment="1"/>
    <xf numFmtId="2" fontId="5" fillId="0" borderId="0" xfId="0" applyNumberFormat="1" applyFont="1"/>
    <xf numFmtId="164" fontId="6" fillId="0" borderId="0" xfId="0" applyNumberFormat="1" applyFont="1"/>
    <xf numFmtId="164" fontId="6" fillId="0" borderId="0" xfId="1" applyNumberFormat="1" applyFont="1"/>
    <xf numFmtId="2" fontId="6" fillId="0" borderId="0" xfId="0" applyNumberFormat="1" applyFont="1"/>
    <xf numFmtId="10" fontId="5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right"/>
    </xf>
    <xf numFmtId="1" fontId="6" fillId="0" borderId="0" xfId="1" applyNumberFormat="1" applyFont="1"/>
    <xf numFmtId="1" fontId="5" fillId="0" borderId="0" xfId="1" applyNumberFormat="1" applyFont="1"/>
    <xf numFmtId="164" fontId="5" fillId="0" borderId="0" xfId="1" applyNumberFormat="1" applyFont="1"/>
    <xf numFmtId="1" fontId="11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164" fontId="6" fillId="0" borderId="1" xfId="0" applyNumberFormat="1" applyFont="1" applyBorder="1"/>
    <xf numFmtId="1" fontId="6" fillId="2" borderId="1" xfId="0" applyNumberFormat="1" applyFont="1" applyFill="1" applyBorder="1"/>
    <xf numFmtId="164" fontId="5" fillId="0" borderId="1" xfId="0" applyNumberFormat="1" applyFont="1" applyBorder="1"/>
    <xf numFmtId="164" fontId="5" fillId="0" borderId="1" xfId="0" applyNumberFormat="1" applyFont="1" applyFill="1" applyBorder="1"/>
    <xf numFmtId="0" fontId="5" fillId="0" borderId="0" xfId="0" applyFont="1" applyBorder="1"/>
    <xf numFmtId="164" fontId="5" fillId="0" borderId="0" xfId="0" applyNumberFormat="1" applyFont="1" applyBorder="1"/>
    <xf numFmtId="1" fontId="5" fillId="0" borderId="0" xfId="0" applyNumberFormat="1" applyFont="1" applyBorder="1"/>
    <xf numFmtId="164" fontId="5" fillId="0" borderId="0" xfId="0" applyNumberFormat="1" applyFont="1" applyFill="1" applyBorder="1"/>
    <xf numFmtId="0" fontId="6" fillId="0" borderId="1" xfId="0" applyFont="1" applyFill="1" applyBorder="1"/>
    <xf numFmtId="0" fontId="6" fillId="0" borderId="0" xfId="0" applyFont="1" applyBorder="1"/>
    <xf numFmtId="0" fontId="5" fillId="0" borderId="1" xfId="0" applyFont="1" applyFill="1" applyBorder="1"/>
    <xf numFmtId="9" fontId="5" fillId="0" borderId="1" xfId="1" applyFont="1" applyBorder="1"/>
    <xf numFmtId="165" fontId="6" fillId="3" borderId="1" xfId="0" applyNumberFormat="1" applyFont="1" applyFill="1" applyBorder="1"/>
    <xf numFmtId="0" fontId="6" fillId="0" borderId="0" xfId="0" applyFont="1" applyFill="1" applyBorder="1"/>
    <xf numFmtId="165" fontId="5" fillId="2" borderId="1" xfId="0" applyNumberFormat="1" applyFont="1" applyFill="1" applyBorder="1"/>
    <xf numFmtId="165" fontId="5" fillId="0" borderId="1" xfId="1" applyNumberFormat="1" applyFont="1" applyBorder="1"/>
    <xf numFmtId="9" fontId="6" fillId="0" borderId="1" xfId="0" applyNumberFormat="1" applyFont="1" applyBorder="1"/>
    <xf numFmtId="9" fontId="6" fillId="0" borderId="1" xfId="1" applyNumberFormat="1" applyFont="1" applyBorder="1"/>
    <xf numFmtId="0" fontId="5" fillId="0" borderId="1" xfId="0" applyNumberFormat="1" applyFont="1" applyBorder="1"/>
    <xf numFmtId="0" fontId="5" fillId="0" borderId="1" xfId="1" applyNumberFormat="1" applyFont="1" applyBorder="1"/>
    <xf numFmtId="0" fontId="6" fillId="0" borderId="0" xfId="0" applyNumberFormat="1" applyFont="1" applyBorder="1"/>
    <xf numFmtId="0" fontId="12" fillId="0" borderId="0" xfId="0" applyFont="1" applyProtection="1"/>
    <xf numFmtId="0" fontId="13" fillId="0" borderId="0" xfId="0" applyFont="1" applyProtection="1"/>
    <xf numFmtId="166" fontId="12" fillId="0" borderId="0" xfId="0" applyNumberFormat="1" applyFont="1" applyProtection="1"/>
    <xf numFmtId="167" fontId="12" fillId="0" borderId="0" xfId="0" applyNumberFormat="1" applyFont="1" applyProtection="1"/>
    <xf numFmtId="1" fontId="12" fillId="0" borderId="0" xfId="0" applyNumberFormat="1" applyFont="1" applyProtection="1"/>
    <xf numFmtId="168" fontId="12" fillId="0" borderId="0" xfId="0" applyNumberFormat="1" applyFont="1" applyProtection="1"/>
    <xf numFmtId="0" fontId="12" fillId="0" borderId="0" xfId="0" applyFont="1"/>
    <xf numFmtId="166" fontId="13" fillId="0" borderId="0" xfId="0" applyNumberFormat="1" applyFont="1" applyProtection="1"/>
    <xf numFmtId="164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3" fillId="0" borderId="1" xfId="0" applyFont="1" applyBorder="1" applyAlignment="1" applyProtection="1">
      <alignment horizontal="center"/>
    </xf>
    <xf numFmtId="166" fontId="12" fillId="0" borderId="1" xfId="0" applyNumberFormat="1" applyFont="1" applyBorder="1" applyProtection="1"/>
    <xf numFmtId="9" fontId="12" fillId="0" borderId="1" xfId="0" applyNumberFormat="1" applyFont="1" applyBorder="1" applyProtection="1"/>
    <xf numFmtId="167" fontId="12" fillId="0" borderId="1" xfId="0" applyNumberFormat="1" applyFont="1" applyBorder="1" applyProtection="1"/>
    <xf numFmtId="1" fontId="12" fillId="0" borderId="1" xfId="0" applyNumberFormat="1" applyFont="1" applyBorder="1" applyProtection="1"/>
    <xf numFmtId="2" fontId="12" fillId="0" borderId="1" xfId="0" applyNumberFormat="1" applyFont="1" applyBorder="1" applyProtection="1"/>
    <xf numFmtId="168" fontId="12" fillId="0" borderId="1" xfId="0" applyNumberFormat="1" applyFont="1" applyBorder="1" applyProtection="1"/>
    <xf numFmtId="166" fontId="12" fillId="0" borderId="0" xfId="0" applyNumberFormat="1" applyFont="1" applyBorder="1" applyProtection="1"/>
    <xf numFmtId="169" fontId="12" fillId="0" borderId="1" xfId="0" applyNumberFormat="1" applyFont="1" applyBorder="1" applyProtection="1"/>
    <xf numFmtId="0" fontId="12" fillId="0" borderId="1" xfId="0" applyNumberFormat="1" applyFont="1" applyBorder="1" applyProtection="1"/>
    <xf numFmtId="1" fontId="13" fillId="0" borderId="1" xfId="0" applyNumberFormat="1" applyFont="1" applyBorder="1" applyProtection="1"/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left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/>
    <xf numFmtId="0" fontId="5" fillId="0" borderId="3" xfId="0" applyFont="1" applyBorder="1" applyAlignment="1">
      <alignment horizontal="center"/>
    </xf>
    <xf numFmtId="0" fontId="6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2" fontId="6" fillId="0" borderId="1" xfId="0" applyNumberFormat="1" applyFont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5" xfId="0" applyFont="1" applyFill="1" applyBorder="1" applyAlignment="1">
      <alignment horizontal="center"/>
    </xf>
    <xf numFmtId="1" fontId="5" fillId="0" borderId="1" xfId="0" applyNumberFormat="1" applyFont="1" applyFill="1" applyBorder="1"/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5" xfId="0" applyFont="1" applyFill="1" applyBorder="1"/>
    <xf numFmtId="1" fontId="5" fillId="0" borderId="0" xfId="0" applyNumberFormat="1" applyFont="1" applyFill="1" applyBorder="1"/>
    <xf numFmtId="0" fontId="5" fillId="0" borderId="9" xfId="0" applyFont="1" applyFill="1" applyBorder="1" applyAlignment="1">
      <alignment horizontal="center"/>
    </xf>
    <xf numFmtId="0" fontId="5" fillId="0" borderId="2" xfId="0" applyFont="1" applyFill="1" applyBorder="1"/>
    <xf numFmtId="0" fontId="6" fillId="0" borderId="0" xfId="0" applyFont="1" applyFill="1"/>
    <xf numFmtId="0" fontId="5" fillId="0" borderId="6" xfId="0" applyFont="1" applyFill="1" applyBorder="1" applyAlignment="1">
      <alignment horizontal="center"/>
    </xf>
    <xf numFmtId="1" fontId="5" fillId="0" borderId="5" xfId="0" applyNumberFormat="1" applyFont="1" applyFill="1" applyBorder="1"/>
    <xf numFmtId="165" fontId="5" fillId="0" borderId="1" xfId="1" applyNumberFormat="1" applyFont="1" applyFill="1" applyBorder="1"/>
    <xf numFmtId="1" fontId="6" fillId="0" borderId="1" xfId="0" applyNumberFormat="1" applyFont="1" applyFill="1" applyBorder="1"/>
    <xf numFmtId="165" fontId="6" fillId="0" borderId="1" xfId="1" applyNumberFormat="1" applyFont="1" applyFill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0" fontId="5" fillId="2" borderId="5" xfId="0" applyFont="1" applyFill="1" applyBorder="1"/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" fontId="5" fillId="2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3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165" fontId="8" fillId="0" borderId="1" xfId="1" applyNumberFormat="1" applyFont="1" applyBorder="1"/>
    <xf numFmtId="0" fontId="8" fillId="4" borderId="1" xfId="0" applyFont="1" applyFill="1" applyBorder="1"/>
    <xf numFmtId="1" fontId="8" fillId="4" borderId="1" xfId="0" applyNumberFormat="1" applyFont="1" applyFill="1" applyBorder="1"/>
    <xf numFmtId="1" fontId="8" fillId="0" borderId="1" xfId="0" applyNumberFormat="1" applyFont="1" applyFill="1" applyBorder="1"/>
    <xf numFmtId="0" fontId="8" fillId="0" borderId="0" xfId="0" applyFont="1" applyFill="1" applyBorder="1"/>
    <xf numFmtId="9" fontId="8" fillId="0" borderId="1" xfId="1" applyNumberFormat="1" applyFont="1" applyBorder="1"/>
    <xf numFmtId="2" fontId="8" fillId="5" borderId="0" xfId="0" applyNumberFormat="1" applyFont="1" applyFill="1" applyBorder="1"/>
    <xf numFmtId="1" fontId="8" fillId="0" borderId="0" xfId="0" applyNumberFormat="1" applyFont="1" applyBorder="1"/>
    <xf numFmtId="1" fontId="8" fillId="0" borderId="0" xfId="0" applyNumberFormat="1" applyFont="1" applyFill="1" applyBorder="1"/>
    <xf numFmtId="1" fontId="7" fillId="0" borderId="1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4" workbookViewId="0">
      <selection activeCell="E10" sqref="E10"/>
    </sheetView>
  </sheetViews>
  <sheetFormatPr defaultRowHeight="14.25"/>
  <cols>
    <col min="1" max="1" width="30" style="4" customWidth="1"/>
    <col min="2" max="7" width="15" style="4" customWidth="1"/>
    <col min="8" max="16384" width="9.140625" style="4"/>
  </cols>
  <sheetData>
    <row r="1" spans="1:3" ht="15">
      <c r="A1" s="3" t="s">
        <v>348</v>
      </c>
    </row>
    <row r="3" spans="1:3">
      <c r="A3" s="4" t="s">
        <v>1</v>
      </c>
      <c r="B3" s="4">
        <v>38000</v>
      </c>
      <c r="C3" s="5">
        <f>B3/B4</f>
        <v>1.1299999999999999</v>
      </c>
    </row>
    <row r="4" spans="1:3" s="3" customFormat="1" ht="15">
      <c r="A4" s="3" t="s">
        <v>2</v>
      </c>
      <c r="B4" s="30">
        <f>B3/1.13</f>
        <v>33628.318584070803</v>
      </c>
      <c r="C4" s="31">
        <v>1</v>
      </c>
    </row>
    <row r="5" spans="1:3">
      <c r="A5" s="4" t="s">
        <v>3</v>
      </c>
      <c r="B5" s="8">
        <f>C5*B4</f>
        <v>11769.911504424781</v>
      </c>
      <c r="C5" s="5">
        <f>C4-C6</f>
        <v>0.35</v>
      </c>
    </row>
    <row r="6" spans="1:3" s="3" customFormat="1" ht="15">
      <c r="A6" s="3" t="s">
        <v>4</v>
      </c>
      <c r="B6" s="30">
        <f>C6*B4</f>
        <v>21858.407079646022</v>
      </c>
      <c r="C6" s="31">
        <v>0.65</v>
      </c>
    </row>
    <row r="8" spans="1:3" ht="15">
      <c r="A8" s="3" t="s">
        <v>349</v>
      </c>
    </row>
    <row r="10" spans="1:3">
      <c r="A10" s="4" t="s">
        <v>1</v>
      </c>
      <c r="B10" s="4">
        <f>14000*22.5</f>
        <v>315000</v>
      </c>
      <c r="C10" s="32">
        <f>B10/B11</f>
        <v>1.1299999999999999</v>
      </c>
    </row>
    <row r="11" spans="1:3" s="3" customFormat="1" ht="15">
      <c r="A11" s="3" t="s">
        <v>2</v>
      </c>
      <c r="B11" s="30">
        <f>B10/1.13</f>
        <v>278761.06194690266</v>
      </c>
      <c r="C11" s="31">
        <v>1</v>
      </c>
    </row>
    <row r="12" spans="1:3">
      <c r="A12" s="4" t="s">
        <v>3</v>
      </c>
      <c r="B12" s="8">
        <f>C12*B11</f>
        <v>78053.097345132745</v>
      </c>
      <c r="C12" s="5">
        <f>C11-C13</f>
        <v>0.28000000000000003</v>
      </c>
    </row>
    <row r="13" spans="1:3" s="3" customFormat="1" ht="15">
      <c r="A13" s="3" t="s">
        <v>4</v>
      </c>
      <c r="B13" s="30">
        <f>B11*C13</f>
        <v>200707.9646017699</v>
      </c>
      <c r="C13" s="31">
        <v>0.72</v>
      </c>
    </row>
    <row r="14" spans="1:3" s="3" customFormat="1" ht="15">
      <c r="B14" s="30"/>
      <c r="C14" s="33"/>
    </row>
    <row r="15" spans="1:3" s="3" customFormat="1" ht="15">
      <c r="A15" s="3" t="s">
        <v>350</v>
      </c>
      <c r="B15" s="30"/>
      <c r="C15" s="33"/>
    </row>
    <row r="16" spans="1:3" s="3" customFormat="1" ht="15">
      <c r="B16" s="30"/>
      <c r="C16" s="33"/>
    </row>
    <row r="17" spans="1:7" s="3" customFormat="1" ht="15">
      <c r="A17" s="4" t="s">
        <v>1</v>
      </c>
      <c r="B17" s="30">
        <v>67500</v>
      </c>
      <c r="C17" s="31">
        <f t="shared" ref="C17:C19" si="0">B17/$B$18</f>
        <v>1.1299999999999999</v>
      </c>
    </row>
    <row r="18" spans="1:7" s="3" customFormat="1" ht="15">
      <c r="A18" s="3" t="s">
        <v>2</v>
      </c>
      <c r="B18" s="30">
        <f>B17/1.13</f>
        <v>59734.513274336292</v>
      </c>
      <c r="C18" s="31">
        <f t="shared" si="0"/>
        <v>1</v>
      </c>
    </row>
    <row r="19" spans="1:7" s="3" customFormat="1" ht="15">
      <c r="A19" s="4" t="s">
        <v>3</v>
      </c>
      <c r="B19" s="8">
        <v>22600</v>
      </c>
      <c r="C19" s="31">
        <f t="shared" si="0"/>
        <v>0.3783407407407407</v>
      </c>
    </row>
    <row r="20" spans="1:7" s="3" customFormat="1" ht="15">
      <c r="A20" s="3" t="s">
        <v>4</v>
      </c>
      <c r="B20" s="30">
        <f>B18-B19</f>
        <v>37134.513274336292</v>
      </c>
      <c r="C20" s="31">
        <f>B20/$B$18</f>
        <v>0.62165925925925936</v>
      </c>
    </row>
    <row r="21" spans="1:7" s="3" customFormat="1" ht="15">
      <c r="B21" s="30"/>
      <c r="C21" s="33"/>
    </row>
    <row r="22" spans="1:7" s="3" customFormat="1" ht="15">
      <c r="A22" s="3" t="s">
        <v>351</v>
      </c>
      <c r="B22" s="30"/>
      <c r="C22" s="33"/>
    </row>
    <row r="23" spans="1:7" s="3" customFormat="1" ht="15">
      <c r="B23" s="34" t="s">
        <v>47</v>
      </c>
      <c r="C23" s="35"/>
      <c r="D23" s="7" t="s">
        <v>48</v>
      </c>
      <c r="E23" s="7"/>
      <c r="F23" s="7" t="s">
        <v>9</v>
      </c>
      <c r="G23" s="7"/>
    </row>
    <row r="24" spans="1:7">
      <c r="A24" s="4" t="s">
        <v>1</v>
      </c>
      <c r="B24" s="8">
        <f>60%*F24</f>
        <v>148800</v>
      </c>
      <c r="C24" s="5">
        <f t="shared" ref="C24:C25" si="1">B24/$B$25</f>
        <v>1.1299999999999999</v>
      </c>
      <c r="D24" s="4">
        <f>40%*F24</f>
        <v>99200</v>
      </c>
      <c r="E24" s="32">
        <f t="shared" ref="E24:E25" si="2">D24/$D$25</f>
        <v>1.23</v>
      </c>
      <c r="F24" s="4">
        <v>248000</v>
      </c>
      <c r="G24" s="32">
        <f t="shared" ref="G24:G26" si="3">F24/$F$25</f>
        <v>1.1679831932773108</v>
      </c>
    </row>
    <row r="25" spans="1:7" s="3" customFormat="1" ht="15">
      <c r="A25" s="3" t="s">
        <v>2</v>
      </c>
      <c r="B25" s="30">
        <f>B24/1.13</f>
        <v>131681.41592920356</v>
      </c>
      <c r="C25" s="31">
        <f t="shared" si="1"/>
        <v>1</v>
      </c>
      <c r="D25" s="30">
        <f>D24/1.23</f>
        <v>80650.406504065046</v>
      </c>
      <c r="E25" s="36">
        <f t="shared" si="2"/>
        <v>1</v>
      </c>
      <c r="F25" s="30">
        <f>B25+D25</f>
        <v>212331.82243326859</v>
      </c>
      <c r="G25" s="36">
        <f t="shared" si="3"/>
        <v>1</v>
      </c>
    </row>
    <row r="26" spans="1:7">
      <c r="A26" s="4" t="s">
        <v>3</v>
      </c>
      <c r="B26" s="8">
        <f>B25-B27</f>
        <v>43454.867256637168</v>
      </c>
      <c r="C26" s="5">
        <f>B26/$B$25</f>
        <v>0.32999999999999996</v>
      </c>
      <c r="D26" s="8">
        <f>D25-D27</f>
        <v>24195.121951219517</v>
      </c>
      <c r="E26" s="32">
        <f>D26/$D$25</f>
        <v>0.30000000000000004</v>
      </c>
      <c r="F26" s="8">
        <f>B26+D26</f>
        <v>67649.989207856677</v>
      </c>
      <c r="G26" s="32">
        <f t="shared" si="3"/>
        <v>0.31860504201680667</v>
      </c>
    </row>
    <row r="27" spans="1:7" s="3" customFormat="1" ht="15">
      <c r="A27" s="3" t="s">
        <v>4</v>
      </c>
      <c r="B27" s="30">
        <f>C27*B25</f>
        <v>88226.548672566394</v>
      </c>
      <c r="C27" s="31">
        <v>0.67</v>
      </c>
      <c r="D27" s="30">
        <f>E27*D25</f>
        <v>56455.284552845529</v>
      </c>
      <c r="E27" s="31">
        <v>0.7</v>
      </c>
      <c r="F27" s="30">
        <f>B27+D27</f>
        <v>144681.83322541192</v>
      </c>
      <c r="G27" s="36">
        <f>F27/$F$25</f>
        <v>0.68139495798319327</v>
      </c>
    </row>
    <row r="28" spans="1:7" s="3" customFormat="1" ht="15">
      <c r="B28" s="30"/>
      <c r="C28" s="33"/>
    </row>
    <row r="29" spans="1:7" ht="15">
      <c r="A29" s="3" t="s">
        <v>352</v>
      </c>
    </row>
    <row r="30" spans="1:7">
      <c r="B30" s="37"/>
      <c r="C30" s="37"/>
      <c r="D30" s="37"/>
      <c r="E30" s="37"/>
    </row>
    <row r="31" spans="1:7">
      <c r="A31" s="4" t="s">
        <v>1</v>
      </c>
      <c r="B31" s="38">
        <f>B32*1.13</f>
        <v>124632.35294117645</v>
      </c>
      <c r="C31" s="39">
        <f>B31/B32</f>
        <v>1.1299999999999999</v>
      </c>
      <c r="D31" s="40"/>
      <c r="E31" s="40"/>
    </row>
    <row r="32" spans="1:7" s="3" customFormat="1" ht="15">
      <c r="A32" s="3" t="s">
        <v>2</v>
      </c>
      <c r="B32" s="30">
        <f>B34/C34</f>
        <v>110294.11764705881</v>
      </c>
      <c r="C32" s="33">
        <v>1</v>
      </c>
    </row>
    <row r="33" spans="1:5">
      <c r="A33" s="4" t="s">
        <v>3</v>
      </c>
      <c r="B33" s="8">
        <f>B32-B34</f>
        <v>35294.117647058811</v>
      </c>
      <c r="C33" s="41">
        <f>C32-C34</f>
        <v>0.31999999999999995</v>
      </c>
      <c r="D33" s="8"/>
      <c r="E33" s="8"/>
    </row>
    <row r="34" spans="1:5" s="3" customFormat="1" ht="15">
      <c r="A34" s="3" t="s">
        <v>4</v>
      </c>
      <c r="B34" s="30">
        <v>75000</v>
      </c>
      <c r="C34" s="42">
        <v>0.68</v>
      </c>
      <c r="D34" s="30"/>
      <c r="E34" s="30"/>
    </row>
    <row r="35" spans="1:5" ht="15">
      <c r="A35" s="3"/>
      <c r="B35" s="30"/>
      <c r="C35" s="30"/>
      <c r="D35" s="30"/>
      <c r="E35" s="30"/>
    </row>
    <row r="36" spans="1:5" ht="15">
      <c r="A36" s="3" t="s">
        <v>353</v>
      </c>
      <c r="B36" s="40"/>
      <c r="C36" s="40"/>
      <c r="D36" s="40"/>
      <c r="E36" s="43"/>
    </row>
    <row r="37" spans="1:5" ht="15">
      <c r="A37" s="3" t="s">
        <v>6</v>
      </c>
    </row>
    <row r="38" spans="1:5">
      <c r="A38" s="4" t="s">
        <v>49</v>
      </c>
      <c r="B38" s="4">
        <v>5000</v>
      </c>
      <c r="C38" s="37"/>
      <c r="D38" s="37"/>
    </row>
    <row r="39" spans="1:5">
      <c r="A39" s="44" t="s">
        <v>50</v>
      </c>
      <c r="B39" s="4">
        <v>28000</v>
      </c>
      <c r="C39" s="40"/>
      <c r="D39" s="40"/>
    </row>
    <row r="40" spans="1:5" s="3" customFormat="1" ht="15">
      <c r="A40" s="45" t="s">
        <v>52</v>
      </c>
      <c r="B40" s="4">
        <v>6800</v>
      </c>
    </row>
    <row r="41" spans="1:5" s="3" customFormat="1" ht="15">
      <c r="A41" s="3" t="s">
        <v>51</v>
      </c>
      <c r="B41" s="3">
        <f>B38+B39-B40</f>
        <v>26200</v>
      </c>
    </row>
    <row r="42" spans="1:5" s="3" customFormat="1" ht="15"/>
    <row r="43" spans="1:5" ht="15">
      <c r="A43" s="3" t="s">
        <v>8</v>
      </c>
      <c r="B43" s="46"/>
      <c r="C43" s="47"/>
      <c r="D43" s="43"/>
    </row>
    <row r="44" spans="1:5">
      <c r="A44" s="4" t="s">
        <v>1</v>
      </c>
      <c r="B44" s="4">
        <v>82500</v>
      </c>
      <c r="C44" s="32">
        <f t="shared" ref="C44:C46" si="4">B44/$B$45</f>
        <v>1.1299999999999999</v>
      </c>
    </row>
    <row r="45" spans="1:5" s="3" customFormat="1" ht="15">
      <c r="A45" s="3" t="s">
        <v>2</v>
      </c>
      <c r="B45" s="30">
        <f>B44/1.13</f>
        <v>73008.849557522131</v>
      </c>
      <c r="C45" s="36">
        <f t="shared" si="4"/>
        <v>1</v>
      </c>
    </row>
    <row r="46" spans="1:5">
      <c r="A46" s="4" t="s">
        <v>3</v>
      </c>
      <c r="B46" s="48">
        <f>B41</f>
        <v>26200</v>
      </c>
      <c r="C46" s="32">
        <f t="shared" si="4"/>
        <v>0.35886060606060605</v>
      </c>
      <c r="D46" s="37"/>
      <c r="E46" s="37"/>
    </row>
    <row r="47" spans="1:5" ht="15">
      <c r="A47" s="3" t="s">
        <v>4</v>
      </c>
      <c r="B47" s="30">
        <f>B45-B46</f>
        <v>46808.849557522131</v>
      </c>
      <c r="C47" s="36">
        <f>B47/$B$45</f>
        <v>0.64113939393939401</v>
      </c>
      <c r="D47" s="30"/>
      <c r="E47" s="30"/>
    </row>
    <row r="48" spans="1:5">
      <c r="B48" s="8"/>
      <c r="C48" s="8"/>
      <c r="D48" s="8"/>
      <c r="E48" s="8"/>
    </row>
    <row r="49" spans="1:6" ht="15">
      <c r="A49" s="3" t="s">
        <v>354</v>
      </c>
    </row>
    <row r="50" spans="1:6">
      <c r="B50" s="37" t="s">
        <v>10</v>
      </c>
      <c r="C50" s="37" t="s">
        <v>11</v>
      </c>
    </row>
    <row r="51" spans="1:6" s="3" customFormat="1" ht="15">
      <c r="A51" s="3" t="s">
        <v>59</v>
      </c>
      <c r="B51" s="30">
        <v>9200</v>
      </c>
      <c r="C51" s="30">
        <v>8400</v>
      </c>
      <c r="F51" s="26"/>
    </row>
    <row r="52" spans="1:6">
      <c r="A52" s="4" t="s">
        <v>53</v>
      </c>
      <c r="B52" s="8">
        <v>29500</v>
      </c>
      <c r="C52" s="8">
        <v>37100</v>
      </c>
      <c r="F52" s="44"/>
    </row>
    <row r="53" spans="1:6" s="3" customFormat="1" ht="15">
      <c r="A53" s="3" t="s">
        <v>60</v>
      </c>
      <c r="B53" s="30">
        <f>B52/1.23</f>
        <v>23983.739837398374</v>
      </c>
      <c r="C53" s="30">
        <f>C52/1.13</f>
        <v>32831.85840707965</v>
      </c>
      <c r="F53" s="26"/>
    </row>
    <row r="54" spans="1:6" s="3" customFormat="1" ht="15">
      <c r="A54" s="3" t="s">
        <v>61</v>
      </c>
      <c r="B54" s="30">
        <v>5300</v>
      </c>
      <c r="C54" s="30">
        <v>10400</v>
      </c>
      <c r="F54" s="26"/>
    </row>
    <row r="55" spans="1:6" s="3" customFormat="1" ht="15">
      <c r="A55" s="3" t="s">
        <v>62</v>
      </c>
      <c r="B55" s="30">
        <f>B51+B53-B54</f>
        <v>27883.739837398374</v>
      </c>
      <c r="C55" s="30">
        <f>C51+C53-C54</f>
        <v>30831.85840707965</v>
      </c>
      <c r="F55" s="26"/>
    </row>
    <row r="56" spans="1:6" ht="15">
      <c r="B56" s="30"/>
      <c r="C56" s="30"/>
      <c r="F56" s="44"/>
    </row>
    <row r="57" spans="1:6">
      <c r="B57" s="37" t="s">
        <v>10</v>
      </c>
      <c r="C57" s="37" t="s">
        <v>11</v>
      </c>
      <c r="D57" s="37" t="s">
        <v>7</v>
      </c>
    </row>
    <row r="58" spans="1:6">
      <c r="A58" s="4" t="s">
        <v>1</v>
      </c>
      <c r="B58" s="4">
        <v>95000</v>
      </c>
      <c r="C58" s="4">
        <v>115000</v>
      </c>
      <c r="D58" s="4">
        <f>SUM(B58:C58)</f>
        <v>210000</v>
      </c>
    </row>
    <row r="59" spans="1:6" ht="15">
      <c r="A59" s="3" t="s">
        <v>2</v>
      </c>
      <c r="B59" s="30">
        <f>B58/1.23</f>
        <v>77235.772357723574</v>
      </c>
      <c r="C59" s="30">
        <f>C58/1.13</f>
        <v>101769.91150442479</v>
      </c>
      <c r="D59" s="30">
        <f>SUM(B59:C59)</f>
        <v>179005.68386214838</v>
      </c>
      <c r="E59" s="8"/>
    </row>
    <row r="60" spans="1:6">
      <c r="A60" s="4" t="s">
        <v>55</v>
      </c>
      <c r="B60" s="8">
        <f>B55</f>
        <v>27883.739837398374</v>
      </c>
      <c r="C60" s="8">
        <f>C55</f>
        <v>30831.85840707965</v>
      </c>
      <c r="D60" s="8">
        <f>SUM(B60:C60)</f>
        <v>58715.598244478024</v>
      </c>
      <c r="E60" s="8"/>
    </row>
    <row r="61" spans="1:6" ht="15">
      <c r="A61" s="3" t="s">
        <v>4</v>
      </c>
      <c r="B61" s="30">
        <f>B59-B60</f>
        <v>49352.0325203252</v>
      </c>
      <c r="C61" s="30">
        <f>C59-C60</f>
        <v>70938.053097345139</v>
      </c>
      <c r="D61" s="30">
        <f>D59-D60</f>
        <v>120290.08561767035</v>
      </c>
      <c r="E61" s="8"/>
    </row>
    <row r="62" spans="1:6" ht="15">
      <c r="A62" s="3" t="s">
        <v>17</v>
      </c>
      <c r="B62" s="36">
        <f>B61/B59</f>
        <v>0.63897894736842098</v>
      </c>
      <c r="C62" s="36">
        <f>C61/C59</f>
        <v>0.69704347826086954</v>
      </c>
      <c r="D62" s="36">
        <f>D61/D59</f>
        <v>0.67199031350482319</v>
      </c>
      <c r="E62" s="36"/>
    </row>
    <row r="63" spans="1:6" ht="15">
      <c r="B63" s="47"/>
      <c r="C63" s="47"/>
      <c r="D63" s="47"/>
      <c r="E63" s="43"/>
    </row>
    <row r="64" spans="1:6" ht="15">
      <c r="A64" s="3" t="s">
        <v>355</v>
      </c>
    </row>
    <row r="65" spans="1:5">
      <c r="B65" s="37" t="s">
        <v>10</v>
      </c>
      <c r="C65" s="37" t="s">
        <v>11</v>
      </c>
    </row>
    <row r="66" spans="1:5">
      <c r="A66" s="4" t="s">
        <v>56</v>
      </c>
      <c r="B66" s="8">
        <v>17500</v>
      </c>
      <c r="C66" s="8">
        <v>18000</v>
      </c>
    </row>
    <row r="67" spans="1:5">
      <c r="A67" s="4" t="s">
        <v>57</v>
      </c>
      <c r="B67" s="8">
        <v>32000</v>
      </c>
      <c r="C67" s="8">
        <v>53000</v>
      </c>
    </row>
    <row r="68" spans="1:5">
      <c r="A68" s="4" t="s">
        <v>58</v>
      </c>
      <c r="B68" s="8">
        <v>16800</v>
      </c>
      <c r="C68" s="8">
        <v>19400</v>
      </c>
    </row>
    <row r="69" spans="1:5">
      <c r="A69" s="4" t="s">
        <v>54</v>
      </c>
      <c r="B69" s="8">
        <f>B66+B67-B68</f>
        <v>32700</v>
      </c>
      <c r="C69" s="8">
        <f>C66+C67-C68</f>
        <v>51600</v>
      </c>
    </row>
    <row r="70" spans="1:5" s="3" customFormat="1" ht="15">
      <c r="A70" s="3" t="s">
        <v>55</v>
      </c>
      <c r="B70" s="30">
        <f>B69/1.23</f>
        <v>26585.365853658535</v>
      </c>
      <c r="C70" s="30">
        <f>C69/1.13</f>
        <v>45663.716814159299</v>
      </c>
    </row>
    <row r="71" spans="1:5" ht="15">
      <c r="B71" s="30"/>
      <c r="C71" s="30"/>
    </row>
    <row r="72" spans="1:5">
      <c r="B72" s="37" t="s">
        <v>10</v>
      </c>
      <c r="C72" s="37" t="s">
        <v>11</v>
      </c>
      <c r="D72" s="37" t="s">
        <v>7</v>
      </c>
    </row>
    <row r="73" spans="1:5">
      <c r="A73" s="4" t="s">
        <v>12</v>
      </c>
      <c r="B73" s="4">
        <v>125000</v>
      </c>
      <c r="C73" s="4">
        <v>164000</v>
      </c>
      <c r="D73" s="4">
        <f>SUM(B73:C73)</f>
        <v>289000</v>
      </c>
    </row>
    <row r="74" spans="1:5" ht="15">
      <c r="A74" s="3" t="s">
        <v>13</v>
      </c>
      <c r="B74" s="30">
        <f>B73/1.23</f>
        <v>101626.01626016261</v>
      </c>
      <c r="C74" s="30">
        <f>C73/1.13</f>
        <v>145132.74336283188</v>
      </c>
      <c r="D74" s="30">
        <f>SUM(B74:C74)</f>
        <v>246758.75962299449</v>
      </c>
      <c r="E74" s="8"/>
    </row>
    <row r="75" spans="1:5">
      <c r="A75" s="4" t="s">
        <v>14</v>
      </c>
      <c r="B75" s="8">
        <f>B70</f>
        <v>26585.365853658535</v>
      </c>
      <c r="C75" s="8">
        <f>C70</f>
        <v>45663.716814159299</v>
      </c>
      <c r="D75" s="8">
        <f>SUM(B75:C75)</f>
        <v>72249.082667817827</v>
      </c>
      <c r="E75" s="8"/>
    </row>
    <row r="76" spans="1:5" ht="15">
      <c r="A76" s="3" t="s">
        <v>16</v>
      </c>
      <c r="B76" s="30">
        <f>B74-B75</f>
        <v>75040.650406504079</v>
      </c>
      <c r="C76" s="30">
        <f>C74-C75</f>
        <v>99469.026548672584</v>
      </c>
      <c r="D76" s="30">
        <f>D74-D75</f>
        <v>174509.67695517666</v>
      </c>
      <c r="E76" s="8"/>
    </row>
    <row r="77" spans="1:5" ht="15">
      <c r="A77" s="4" t="s">
        <v>17</v>
      </c>
      <c r="B77" s="36">
        <f>B76/B74</f>
        <v>0.73840000000000006</v>
      </c>
      <c r="C77" s="36">
        <f>C76/C74</f>
        <v>0.68536585365853664</v>
      </c>
      <c r="D77" s="36">
        <f>D76/D74</f>
        <v>0.70720762748928478</v>
      </c>
      <c r="E77" s="36"/>
    </row>
  </sheetData>
  <sheetProtection password="A166" sheet="1"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25" workbookViewId="0">
      <selection activeCell="E3" sqref="E3"/>
    </sheetView>
  </sheetViews>
  <sheetFormatPr defaultRowHeight="14.25"/>
  <cols>
    <col min="1" max="1" width="9.140625" style="4"/>
    <col min="2" max="2" width="16.5703125" style="4" customWidth="1"/>
    <col min="3" max="7" width="14.42578125" style="4" customWidth="1"/>
    <col min="8" max="8" width="13.140625" style="4" customWidth="1"/>
    <col min="9" max="9" width="17.5703125" style="4" customWidth="1"/>
    <col min="10" max="16384" width="9.140625" style="4"/>
  </cols>
  <sheetData>
    <row r="1" spans="1:11" ht="15">
      <c r="A1" s="3" t="s">
        <v>356</v>
      </c>
    </row>
    <row r="2" spans="1:11">
      <c r="B2" s="4" t="s">
        <v>63</v>
      </c>
      <c r="C2" s="4" t="s">
        <v>64</v>
      </c>
      <c r="D2" s="4" t="s">
        <v>20</v>
      </c>
    </row>
    <row r="3" spans="1:11" s="3" customFormat="1" ht="15">
      <c r="A3" s="4"/>
      <c r="B3" s="4">
        <v>7800</v>
      </c>
      <c r="C3" s="4">
        <v>9500</v>
      </c>
      <c r="D3" s="3">
        <f>(B3+C3)/2</f>
        <v>8650</v>
      </c>
      <c r="E3" s="4"/>
      <c r="F3" s="4"/>
      <c r="G3" s="4"/>
      <c r="H3" s="4"/>
      <c r="I3" s="4"/>
      <c r="J3" s="4"/>
      <c r="K3" s="4"/>
    </row>
    <row r="4" spans="1:11" ht="15">
      <c r="A4" s="3"/>
      <c r="D4" s="3"/>
    </row>
    <row r="5" spans="1:11" s="3" customFormat="1" ht="15">
      <c r="B5" s="4" t="s">
        <v>18</v>
      </c>
      <c r="C5" s="4">
        <v>7800</v>
      </c>
      <c r="E5" s="4"/>
      <c r="F5" s="4"/>
      <c r="G5" s="4"/>
      <c r="H5" s="4"/>
      <c r="I5" s="4"/>
      <c r="J5" s="4"/>
      <c r="K5" s="4"/>
    </row>
    <row r="6" spans="1:11" ht="15">
      <c r="A6" s="3"/>
      <c r="B6" s="4" t="s">
        <v>15</v>
      </c>
      <c r="C6" s="4">
        <v>390000</v>
      </c>
      <c r="D6" s="3"/>
    </row>
    <row r="7" spans="1:11" s="3" customFormat="1" ht="15">
      <c r="B7" s="4" t="s">
        <v>19</v>
      </c>
      <c r="C7" s="4">
        <v>-9500</v>
      </c>
      <c r="E7" s="4"/>
      <c r="F7" s="4"/>
      <c r="G7" s="4"/>
      <c r="H7" s="4"/>
      <c r="I7" s="4"/>
      <c r="J7" s="4"/>
      <c r="K7" s="4"/>
    </row>
    <row r="8" spans="1:11" ht="15">
      <c r="A8" s="3"/>
      <c r="B8" s="3" t="s">
        <v>3</v>
      </c>
      <c r="C8" s="3">
        <f>SUM(C5:C7)</f>
        <v>388300</v>
      </c>
      <c r="D8" s="3"/>
    </row>
    <row r="9" spans="1:11" s="3" customFormat="1" ht="1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">
      <c r="A10" s="3" t="s">
        <v>6</v>
      </c>
      <c r="B10" s="4" t="s">
        <v>21</v>
      </c>
      <c r="F10" s="49">
        <f>C8/D3</f>
        <v>44.890173410404621</v>
      </c>
      <c r="G10" s="4" t="s">
        <v>22</v>
      </c>
    </row>
    <row r="12" spans="1:11" s="3" customFormat="1" ht="15">
      <c r="A12" s="3" t="s">
        <v>8</v>
      </c>
      <c r="B12" s="4" t="s">
        <v>23</v>
      </c>
      <c r="C12" s="4"/>
      <c r="D12" s="4"/>
      <c r="E12" s="4"/>
      <c r="F12" s="49">
        <f>365/F10</f>
        <v>8.1309554468194705</v>
      </c>
      <c r="G12" s="4" t="s">
        <v>24</v>
      </c>
      <c r="I12" s="4"/>
      <c r="J12" s="4"/>
      <c r="K12" s="4"/>
    </row>
    <row r="14" spans="1:11" s="3" customFormat="1" ht="15">
      <c r="A14" s="3" t="s">
        <v>357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B15" s="4" t="s">
        <v>63</v>
      </c>
      <c r="C15" s="4" t="s">
        <v>64</v>
      </c>
      <c r="D15" s="4" t="s">
        <v>20</v>
      </c>
    </row>
    <row r="16" spans="1:11" s="3" customFormat="1" ht="15">
      <c r="A16" s="4"/>
      <c r="B16" s="4">
        <v>3250</v>
      </c>
      <c r="C16" s="4">
        <v>4300</v>
      </c>
      <c r="D16" s="3">
        <f>(B16+C16)/2</f>
        <v>3775</v>
      </c>
      <c r="E16" s="4"/>
      <c r="F16" s="4"/>
      <c r="G16" s="4"/>
      <c r="H16" s="4"/>
      <c r="I16" s="4"/>
      <c r="J16" s="4"/>
      <c r="K16" s="4"/>
    </row>
    <row r="17" spans="1:11" ht="15">
      <c r="D17" s="3"/>
    </row>
    <row r="18" spans="1:11" ht="15">
      <c r="B18" s="4" t="s">
        <v>18</v>
      </c>
      <c r="C18" s="4">
        <f>B16</f>
        <v>3250</v>
      </c>
      <c r="D18" s="3"/>
    </row>
    <row r="19" spans="1:11" s="3" customFormat="1" ht="15">
      <c r="A19" s="4"/>
      <c r="B19" s="4" t="s">
        <v>15</v>
      </c>
      <c r="C19" s="4">
        <v>19600</v>
      </c>
      <c r="E19" s="4"/>
      <c r="F19" s="4"/>
      <c r="G19" s="4"/>
      <c r="H19" s="4"/>
      <c r="I19" s="4"/>
      <c r="J19" s="4"/>
      <c r="K19" s="4"/>
    </row>
    <row r="20" spans="1:11" ht="15">
      <c r="B20" s="4" t="s">
        <v>19</v>
      </c>
      <c r="C20" s="4">
        <f>-C16</f>
        <v>-4300</v>
      </c>
      <c r="D20" s="3"/>
    </row>
    <row r="21" spans="1:11" ht="15">
      <c r="B21" s="3" t="s">
        <v>3</v>
      </c>
      <c r="C21" s="3">
        <f>SUM(C18:C20)</f>
        <v>18550</v>
      </c>
      <c r="D21" s="3"/>
    </row>
    <row r="22" spans="1:11" ht="15">
      <c r="B22" s="4" t="s">
        <v>25</v>
      </c>
      <c r="C22" s="49">
        <f>C21/31</f>
        <v>598.38709677419354</v>
      </c>
    </row>
    <row r="24" spans="1:11" ht="15">
      <c r="B24" s="4" t="s">
        <v>26</v>
      </c>
      <c r="F24" s="49">
        <f>D16/C22</f>
        <v>6.308625336927224</v>
      </c>
      <c r="G24" s="4" t="s">
        <v>24</v>
      </c>
    </row>
    <row r="25" spans="1:11" ht="15">
      <c r="F25" s="49"/>
    </row>
    <row r="26" spans="1:11" ht="15">
      <c r="A26" s="3" t="s">
        <v>358</v>
      </c>
    </row>
    <row r="27" spans="1:11">
      <c r="B27" s="4" t="s">
        <v>65</v>
      </c>
      <c r="E27" s="4">
        <v>47800</v>
      </c>
    </row>
    <row r="28" spans="1:11" ht="15">
      <c r="B28" s="4" t="s">
        <v>25</v>
      </c>
      <c r="E28" s="49">
        <f>E27/30</f>
        <v>1593.3333333333333</v>
      </c>
    </row>
    <row r="29" spans="1:11" ht="15">
      <c r="B29" s="4" t="s">
        <v>27</v>
      </c>
      <c r="E29" s="3">
        <f>E28*9</f>
        <v>14340</v>
      </c>
      <c r="F29" s="4" t="s">
        <v>28</v>
      </c>
    </row>
    <row r="30" spans="1:11" ht="15">
      <c r="E30" s="3"/>
    </row>
    <row r="31" spans="1:11" ht="15">
      <c r="A31" s="3" t="s">
        <v>359</v>
      </c>
    </row>
    <row r="32" spans="1:11">
      <c r="B32" s="4" t="s">
        <v>29</v>
      </c>
      <c r="C32" s="4">
        <v>175000</v>
      </c>
      <c r="D32" s="6">
        <v>1</v>
      </c>
    </row>
    <row r="33" spans="1:8" ht="15">
      <c r="B33" s="4" t="s">
        <v>30</v>
      </c>
      <c r="C33" s="3">
        <f>D33*$C$32</f>
        <v>61249.999999999993</v>
      </c>
      <c r="D33" s="6">
        <v>0.35</v>
      </c>
    </row>
    <row r="34" spans="1:8">
      <c r="B34" s="4" t="s">
        <v>31</v>
      </c>
      <c r="C34" s="4">
        <f>D34*$C$32</f>
        <v>113750</v>
      </c>
      <c r="D34" s="6">
        <v>0.65</v>
      </c>
    </row>
    <row r="36" spans="1:8" ht="15">
      <c r="B36" s="4" t="s">
        <v>25</v>
      </c>
      <c r="E36" s="49">
        <f>C33/365</f>
        <v>167.80821917808217</v>
      </c>
    </row>
    <row r="37" spans="1:8" ht="15">
      <c r="B37" s="4" t="s">
        <v>32</v>
      </c>
      <c r="E37" s="49">
        <f>8*E36</f>
        <v>1342.4657534246574</v>
      </c>
    </row>
    <row r="38" spans="1:8" ht="15">
      <c r="E38" s="49"/>
    </row>
    <row r="39" spans="1:8" ht="15">
      <c r="A39" s="3" t="s">
        <v>360</v>
      </c>
    </row>
    <row r="40" spans="1:8">
      <c r="B40" s="4" t="s">
        <v>33</v>
      </c>
      <c r="D40" s="4">
        <v>4325000</v>
      </c>
    </row>
    <row r="41" spans="1:8" ht="15">
      <c r="A41" s="3"/>
      <c r="B41" s="4" t="s">
        <v>25</v>
      </c>
      <c r="D41" s="30">
        <f>D40/365</f>
        <v>11849.315068493152</v>
      </c>
    </row>
    <row r="42" spans="1:8">
      <c r="B42" s="4" t="s">
        <v>34</v>
      </c>
      <c r="D42" s="4">
        <v>130000</v>
      </c>
    </row>
    <row r="44" spans="1:8" ht="15">
      <c r="B44" s="4" t="s">
        <v>35</v>
      </c>
      <c r="G44" s="49">
        <f>D42/D41</f>
        <v>10.971098265895954</v>
      </c>
      <c r="H44" s="4" t="s">
        <v>36</v>
      </c>
    </row>
    <row r="45" spans="1:8" ht="15">
      <c r="G45" s="49"/>
    </row>
    <row r="46" spans="1:8" ht="15">
      <c r="B46" s="4" t="s">
        <v>66</v>
      </c>
      <c r="G46" s="30">
        <f>(G44-3)*D41</f>
        <v>94452.054794520547</v>
      </c>
      <c r="H46" s="4" t="s">
        <v>28</v>
      </c>
    </row>
    <row r="47" spans="1:8" ht="15">
      <c r="B47" s="4" t="s">
        <v>37</v>
      </c>
      <c r="G47" s="30">
        <f>D42-G46</f>
        <v>35547.945205479453</v>
      </c>
      <c r="H47" s="4" t="s">
        <v>28</v>
      </c>
    </row>
    <row r="48" spans="1:8" ht="15">
      <c r="G48" s="30"/>
    </row>
    <row r="49" spans="1:8" ht="15">
      <c r="A49" s="3" t="s">
        <v>361</v>
      </c>
    </row>
    <row r="50" spans="1:8">
      <c r="B50" s="4" t="s">
        <v>38</v>
      </c>
      <c r="G50" s="4">
        <f>900000*2</f>
        <v>1800000</v>
      </c>
      <c r="H50" s="4" t="s">
        <v>28</v>
      </c>
    </row>
    <row r="51" spans="1:8">
      <c r="B51" s="4" t="s">
        <v>39</v>
      </c>
      <c r="G51" s="8">
        <f>G50/365</f>
        <v>4931.5068493150684</v>
      </c>
      <c r="H51" s="4" t="s">
        <v>28</v>
      </c>
    </row>
    <row r="52" spans="1:8" ht="15">
      <c r="B52" s="3" t="s">
        <v>40</v>
      </c>
      <c r="G52" s="30">
        <f>6*G51</f>
        <v>29589.04109589041</v>
      </c>
      <c r="H52" s="4" t="s">
        <v>28</v>
      </c>
    </row>
    <row r="54" spans="1:8">
      <c r="B54" s="4" t="s">
        <v>41</v>
      </c>
      <c r="G54" s="4">
        <f>2+0.5</f>
        <v>2.5</v>
      </c>
      <c r="H54" s="4" t="s">
        <v>28</v>
      </c>
    </row>
    <row r="55" spans="1:8">
      <c r="B55" s="4" t="s">
        <v>42</v>
      </c>
      <c r="G55" s="4">
        <f>900000*G54</f>
        <v>2250000</v>
      </c>
    </row>
    <row r="56" spans="1:8">
      <c r="B56" s="4" t="s">
        <v>43</v>
      </c>
      <c r="G56" s="8">
        <f>G55/365</f>
        <v>6164.3835616438355</v>
      </c>
    </row>
    <row r="57" spans="1:8" s="3" customFormat="1" ht="15">
      <c r="B57" s="3" t="s">
        <v>44</v>
      </c>
      <c r="G57" s="30">
        <f>25*G56</f>
        <v>154109.5890410959</v>
      </c>
    </row>
    <row r="58" spans="1:8">
      <c r="G58" s="8"/>
    </row>
    <row r="59" spans="1:8" s="3" customFormat="1" ht="15">
      <c r="B59" s="3" t="s">
        <v>45</v>
      </c>
      <c r="G59" s="30">
        <f>G52+G57</f>
        <v>183698.63013698632</v>
      </c>
    </row>
  </sheetData>
  <sheetProtection password="A166" sheet="1"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10" workbookViewId="0">
      <selection activeCell="I18" sqref="I18"/>
    </sheetView>
  </sheetViews>
  <sheetFormatPr defaultRowHeight="14.25"/>
  <cols>
    <col min="1" max="1" width="9.140625" style="4"/>
    <col min="2" max="2" width="27.5703125" style="4" customWidth="1"/>
    <col min="3" max="6" width="13.28515625" style="4" customWidth="1"/>
    <col min="7" max="7" width="12.28515625" style="4" bestFit="1" customWidth="1"/>
    <col min="8" max="8" width="9.140625" style="4"/>
    <col min="9" max="9" width="12.28515625" style="4" bestFit="1" customWidth="1"/>
    <col min="10" max="16384" width="9.140625" style="4"/>
  </cols>
  <sheetData>
    <row r="1" spans="1:4" ht="15">
      <c r="A1" s="3" t="s">
        <v>362</v>
      </c>
      <c r="C1" s="48"/>
    </row>
    <row r="2" spans="1:4">
      <c r="C2" s="48"/>
    </row>
    <row r="3" spans="1:4" ht="15">
      <c r="A3" s="3"/>
      <c r="B3" s="3" t="s">
        <v>1</v>
      </c>
      <c r="C3" s="50">
        <v>1970180</v>
      </c>
      <c r="D3" s="36"/>
    </row>
    <row r="4" spans="1:4">
      <c r="B4" s="4" t="s">
        <v>67</v>
      </c>
      <c r="C4" s="38">
        <v>355278</v>
      </c>
      <c r="D4" s="32"/>
    </row>
    <row r="5" spans="1:4" ht="15">
      <c r="A5" s="3"/>
      <c r="B5" s="3" t="s">
        <v>2</v>
      </c>
      <c r="C5" s="50">
        <v>1614902</v>
      </c>
      <c r="D5" s="36">
        <f t="shared" ref="D5:D19" si="0">C5/$C$5</f>
        <v>1</v>
      </c>
    </row>
    <row r="6" spans="1:4">
      <c r="B6" s="4" t="s">
        <v>68</v>
      </c>
      <c r="C6" s="38">
        <v>521700</v>
      </c>
      <c r="D6" s="32">
        <f t="shared" si="0"/>
        <v>0.32305365898364113</v>
      </c>
    </row>
    <row r="7" spans="1:4" ht="15">
      <c r="A7" s="3"/>
      <c r="B7" s="3" t="s">
        <v>4</v>
      </c>
      <c r="C7" s="50">
        <f>C5-C6</f>
        <v>1093202</v>
      </c>
      <c r="D7" s="36">
        <f t="shared" si="0"/>
        <v>0.67694634101635887</v>
      </c>
    </row>
    <row r="8" spans="1:4">
      <c r="B8" s="4" t="s">
        <v>69</v>
      </c>
      <c r="C8" s="38">
        <v>469460</v>
      </c>
      <c r="D8" s="32">
        <f t="shared" si="0"/>
        <v>0.29070494680172543</v>
      </c>
    </row>
    <row r="9" spans="1:4" ht="15">
      <c r="A9" s="3"/>
      <c r="B9" s="3" t="s">
        <v>70</v>
      </c>
      <c r="C9" s="50">
        <f>C7-C8</f>
        <v>623742</v>
      </c>
      <c r="D9" s="36">
        <f t="shared" si="0"/>
        <v>0.38624139421463344</v>
      </c>
    </row>
    <row r="10" spans="1:4">
      <c r="B10" s="4" t="s">
        <v>71</v>
      </c>
      <c r="C10" s="38">
        <v>157740</v>
      </c>
      <c r="D10" s="32">
        <f t="shared" si="0"/>
        <v>9.7677753820355664E-2</v>
      </c>
    </row>
    <row r="11" spans="1:4">
      <c r="B11" s="4" t="s">
        <v>72</v>
      </c>
      <c r="C11" s="38">
        <v>65860</v>
      </c>
      <c r="D11" s="32">
        <f t="shared" si="0"/>
        <v>4.0782660495807178E-2</v>
      </c>
    </row>
    <row r="12" spans="1:4" ht="15">
      <c r="A12" s="3"/>
      <c r="B12" s="3" t="s">
        <v>73</v>
      </c>
      <c r="C12" s="50">
        <f>C9-C10-C11</f>
        <v>400142</v>
      </c>
      <c r="D12" s="36">
        <f t="shared" si="0"/>
        <v>0.24778097989847062</v>
      </c>
    </row>
    <row r="13" spans="1:4">
      <c r="B13" s="4" t="s">
        <v>74</v>
      </c>
      <c r="C13" s="38">
        <v>135600</v>
      </c>
      <c r="D13" s="32">
        <f t="shared" si="0"/>
        <v>8.3967943565615752E-2</v>
      </c>
    </row>
    <row r="14" spans="1:4" ht="15">
      <c r="A14" s="3"/>
      <c r="B14" s="3" t="s">
        <v>75</v>
      </c>
      <c r="C14" s="50">
        <f>C12-C13</f>
        <v>264542</v>
      </c>
      <c r="D14" s="36">
        <f t="shared" si="0"/>
        <v>0.16381303633285488</v>
      </c>
    </row>
    <row r="15" spans="1:4">
      <c r="B15" s="4" t="s">
        <v>76</v>
      </c>
      <c r="C15" s="38">
        <v>58000</v>
      </c>
      <c r="D15" s="32">
        <f t="shared" si="0"/>
        <v>3.5915492085587856E-2</v>
      </c>
    </row>
    <row r="16" spans="1:4" ht="15">
      <c r="A16" s="3"/>
      <c r="B16" s="3" t="s">
        <v>77</v>
      </c>
      <c r="C16" s="50">
        <f>C14-C15</f>
        <v>206542</v>
      </c>
      <c r="D16" s="36">
        <f t="shared" si="0"/>
        <v>0.12789754424726701</v>
      </c>
    </row>
    <row r="17" spans="1:4">
      <c r="B17" s="4" t="s">
        <v>78</v>
      </c>
      <c r="C17" s="38">
        <v>49360</v>
      </c>
      <c r="D17" s="32">
        <f t="shared" si="0"/>
        <v>3.0565322230079597E-2</v>
      </c>
    </row>
    <row r="18" spans="1:4">
      <c r="B18" s="4" t="s">
        <v>79</v>
      </c>
      <c r="C18" s="38">
        <v>40500</v>
      </c>
      <c r="D18" s="32">
        <f t="shared" si="0"/>
        <v>2.5078921197694969E-2</v>
      </c>
    </row>
    <row r="19" spans="1:4" ht="15">
      <c r="A19" s="3"/>
      <c r="B19" s="3" t="s">
        <v>80</v>
      </c>
      <c r="C19" s="50">
        <f>C16-C17-C18</f>
        <v>116682</v>
      </c>
      <c r="D19" s="36">
        <f t="shared" si="0"/>
        <v>7.2253300819492453E-2</v>
      </c>
    </row>
    <row r="20" spans="1:4">
      <c r="C20" s="48"/>
    </row>
    <row r="21" spans="1:4" ht="15">
      <c r="A21" s="3" t="s">
        <v>8</v>
      </c>
      <c r="C21" s="48"/>
    </row>
    <row r="22" spans="1:4" ht="15">
      <c r="A22" s="4" t="s">
        <v>88</v>
      </c>
      <c r="C22" s="48"/>
      <c r="D22" s="3">
        <f>(12*2500)/1600</f>
        <v>18.75</v>
      </c>
    </row>
    <row r="23" spans="1:4" ht="15">
      <c r="A23" s="4" t="s">
        <v>81</v>
      </c>
      <c r="C23" s="48"/>
      <c r="D23" s="49">
        <f>C8/(12*2500)</f>
        <v>15.648666666666667</v>
      </c>
    </row>
    <row r="24" spans="1:4" ht="15">
      <c r="A24" s="4" t="s">
        <v>82</v>
      </c>
      <c r="D24" s="51">
        <f>C3/180/12</f>
        <v>912.12037037037044</v>
      </c>
    </row>
    <row r="25" spans="1:4" ht="15">
      <c r="A25" s="4" t="s">
        <v>83</v>
      </c>
      <c r="C25" s="48"/>
      <c r="D25" s="52">
        <f>C3/(12*2500)</f>
        <v>65.672666666666672</v>
      </c>
    </row>
    <row r="26" spans="1:4" ht="15">
      <c r="A26" s="4" t="s">
        <v>84</v>
      </c>
      <c r="C26" s="48"/>
      <c r="D26" s="53">
        <f>C3/D22</f>
        <v>105076.26666666666</v>
      </c>
    </row>
    <row r="27" spans="1:4" ht="15">
      <c r="A27" s="4" t="s">
        <v>85</v>
      </c>
      <c r="C27" s="48"/>
      <c r="D27" s="54">
        <f>C3/(350*380)</f>
        <v>14.813383458646616</v>
      </c>
    </row>
    <row r="28" spans="1:4" ht="15">
      <c r="A28" s="4" t="s">
        <v>86</v>
      </c>
      <c r="C28" s="48"/>
      <c r="D28" s="49">
        <f>380/180</f>
        <v>2.1111111111111112</v>
      </c>
    </row>
    <row r="29" spans="1:4" ht="15">
      <c r="A29" s="4" t="s">
        <v>89</v>
      </c>
      <c r="C29" s="48"/>
      <c r="D29" s="49">
        <f>C6/12000</f>
        <v>43.475000000000001</v>
      </c>
    </row>
    <row r="30" spans="1:4" ht="15">
      <c r="A30" s="4" t="s">
        <v>87</v>
      </c>
      <c r="C30" s="48"/>
      <c r="D30" s="49">
        <f>365/D29</f>
        <v>8.3956296722254162</v>
      </c>
    </row>
    <row r="32" spans="1:4" ht="15">
      <c r="A32" s="3" t="s">
        <v>363</v>
      </c>
    </row>
    <row r="33" spans="1:6" ht="15">
      <c r="C33" s="7" t="s">
        <v>90</v>
      </c>
      <c r="E33" s="7" t="s">
        <v>91</v>
      </c>
    </row>
    <row r="34" spans="1:6" ht="15">
      <c r="A34" s="4" t="s">
        <v>1</v>
      </c>
      <c r="C34" s="4">
        <v>430724</v>
      </c>
      <c r="D34" s="36"/>
      <c r="E34" s="4">
        <v>221422</v>
      </c>
      <c r="F34" s="36"/>
    </row>
    <row r="35" spans="1:6" ht="15">
      <c r="A35" s="3" t="s">
        <v>29</v>
      </c>
      <c r="C35" s="30">
        <f>C34/1.09</f>
        <v>395159.63302752288</v>
      </c>
      <c r="D35" s="36">
        <f t="shared" ref="D35:D41" si="1">C35/$C$35</f>
        <v>1</v>
      </c>
      <c r="E35" s="30">
        <v>191400</v>
      </c>
      <c r="F35" s="36">
        <f t="shared" ref="F35:F41" si="2">E35/$E$35</f>
        <v>1</v>
      </c>
    </row>
    <row r="36" spans="1:6" ht="15">
      <c r="A36" s="4" t="s">
        <v>14</v>
      </c>
      <c r="C36" s="8"/>
      <c r="D36" s="36"/>
      <c r="E36" s="8">
        <v>76380</v>
      </c>
      <c r="F36" s="36">
        <f t="shared" si="2"/>
        <v>0.39905956112852664</v>
      </c>
    </row>
    <row r="37" spans="1:6" ht="15">
      <c r="A37" s="3" t="s">
        <v>31</v>
      </c>
      <c r="C37" s="30">
        <f>C35-C36</f>
        <v>395159.63302752288</v>
      </c>
      <c r="D37" s="36">
        <f t="shared" si="1"/>
        <v>1</v>
      </c>
      <c r="E37" s="30">
        <f>E35-E36</f>
        <v>115020</v>
      </c>
      <c r="F37" s="36">
        <f t="shared" si="2"/>
        <v>0.6009404388714733</v>
      </c>
    </row>
    <row r="38" spans="1:6" ht="15">
      <c r="A38" s="4" t="s">
        <v>92</v>
      </c>
      <c r="C38" s="4">
        <v>125340</v>
      </c>
      <c r="D38" s="36">
        <f t="shared" si="1"/>
        <v>0.31718826905396502</v>
      </c>
      <c r="E38" s="8">
        <v>52200</v>
      </c>
      <c r="F38" s="36">
        <f t="shared" si="2"/>
        <v>0.27272727272727271</v>
      </c>
    </row>
    <row r="39" spans="1:6" ht="15">
      <c r="A39" s="3" t="s">
        <v>70</v>
      </c>
      <c r="C39" s="30">
        <f>C37-C38</f>
        <v>269819.63302752288</v>
      </c>
      <c r="D39" s="36">
        <f t="shared" si="1"/>
        <v>0.68281173094603498</v>
      </c>
      <c r="E39" s="30">
        <f>E37-E38</f>
        <v>62820</v>
      </c>
      <c r="F39" s="36">
        <f t="shared" si="2"/>
        <v>0.32821316614420065</v>
      </c>
    </row>
    <row r="40" spans="1:6" ht="15">
      <c r="A40" s="4" t="s">
        <v>93</v>
      </c>
      <c r="C40" s="4">
        <v>72200</v>
      </c>
      <c r="D40" s="36">
        <f t="shared" si="1"/>
        <v>0.18271097036617417</v>
      </c>
      <c r="E40" s="8">
        <v>30420</v>
      </c>
      <c r="F40" s="36">
        <f t="shared" si="2"/>
        <v>0.15893416927899687</v>
      </c>
    </row>
    <row r="41" spans="1:6" ht="15">
      <c r="A41" s="4" t="s">
        <v>94</v>
      </c>
      <c r="C41" s="4">
        <v>141960</v>
      </c>
      <c r="D41" s="36">
        <f t="shared" si="1"/>
        <v>0.35924722095820066</v>
      </c>
      <c r="E41" s="8">
        <v>22840</v>
      </c>
      <c r="F41" s="36">
        <f t="shared" si="2"/>
        <v>0.11933124346917451</v>
      </c>
    </row>
    <row r="42" spans="1:6" ht="15">
      <c r="A42" s="3" t="s">
        <v>75</v>
      </c>
      <c r="C42" s="30">
        <f>C39-C40-C41</f>
        <v>55659.633027522883</v>
      </c>
      <c r="D42" s="36">
        <f>C42/$C$35</f>
        <v>0.14085353962166017</v>
      </c>
      <c r="E42" s="30">
        <f>E39-E40-E41</f>
        <v>9560</v>
      </c>
      <c r="F42" s="36">
        <f>E42/$E$35</f>
        <v>4.9947753396029256E-2</v>
      </c>
    </row>
    <row r="44" spans="1:6">
      <c r="A44" s="4" t="s">
        <v>95</v>
      </c>
      <c r="C44" s="4">
        <v>21</v>
      </c>
      <c r="E44" s="4">
        <v>21</v>
      </c>
    </row>
    <row r="45" spans="1:6">
      <c r="A45" s="4" t="s">
        <v>96</v>
      </c>
      <c r="C45" s="8">
        <f>C38/C44</f>
        <v>5968.5714285714284</v>
      </c>
      <c r="E45" s="8">
        <f>E38/E44</f>
        <v>2485.7142857142858</v>
      </c>
    </row>
    <row r="46" spans="1:6">
      <c r="A46" s="4" t="s">
        <v>97</v>
      </c>
      <c r="C46" s="8">
        <f>C34/C45</f>
        <v>72.165342269028244</v>
      </c>
      <c r="E46" s="8">
        <f>E34/E45</f>
        <v>89.07781609195402</v>
      </c>
    </row>
    <row r="47" spans="1:6">
      <c r="A47" s="4" t="s">
        <v>98</v>
      </c>
      <c r="C47" s="8">
        <v>180</v>
      </c>
      <c r="E47" s="8">
        <v>160</v>
      </c>
    </row>
    <row r="48" spans="1:6">
      <c r="A48" s="4" t="s">
        <v>112</v>
      </c>
      <c r="C48" s="4">
        <v>4190</v>
      </c>
      <c r="E48" s="4">
        <v>13500</v>
      </c>
    </row>
    <row r="49" spans="1:6">
      <c r="A49" s="4" t="s">
        <v>113</v>
      </c>
      <c r="C49" s="4">
        <v>5135</v>
      </c>
      <c r="E49" s="4">
        <v>400</v>
      </c>
      <c r="F49" s="4" t="s">
        <v>99</v>
      </c>
    </row>
    <row r="50" spans="1:6">
      <c r="A50" s="4" t="s">
        <v>100</v>
      </c>
      <c r="C50" s="4">
        <v>3520</v>
      </c>
      <c r="E50" s="55">
        <f>E48/(31*E47)</f>
        <v>2.721774193548387</v>
      </c>
      <c r="F50" s="4" t="s">
        <v>101</v>
      </c>
    </row>
    <row r="51" spans="1:6">
      <c r="A51" s="4" t="s">
        <v>115</v>
      </c>
      <c r="E51" s="4">
        <v>37000</v>
      </c>
      <c r="F51" s="4" t="s">
        <v>28</v>
      </c>
    </row>
    <row r="52" spans="1:6">
      <c r="E52" s="55"/>
    </row>
    <row r="53" spans="1:6">
      <c r="A53" s="4" t="s">
        <v>102</v>
      </c>
      <c r="C53" s="32">
        <f>C50/(31*C47)</f>
        <v>0.63082437275985659</v>
      </c>
      <c r="E53" s="55">
        <f>E34/(E47*31)</f>
        <v>44.641532258064515</v>
      </c>
      <c r="F53" s="4" t="s">
        <v>103</v>
      </c>
    </row>
    <row r="54" spans="1:6">
      <c r="A54" s="4" t="s">
        <v>104</v>
      </c>
      <c r="C54" s="32">
        <f>((C49/C50)-1)</f>
        <v>0.45880681818181812</v>
      </c>
      <c r="E54" s="55">
        <f>E34/(E49*31)</f>
        <v>17.856612903225805</v>
      </c>
      <c r="F54" s="4" t="s">
        <v>105</v>
      </c>
    </row>
    <row r="55" spans="1:6">
      <c r="A55" s="4" t="s">
        <v>106</v>
      </c>
      <c r="C55" s="32">
        <f>C49/(180*2*31)</f>
        <v>0.46012544802867383</v>
      </c>
      <c r="E55" s="8">
        <f>E40/E49</f>
        <v>76.05</v>
      </c>
      <c r="F55" s="4" t="s">
        <v>107</v>
      </c>
    </row>
    <row r="56" spans="1:6">
      <c r="A56" s="4" t="s">
        <v>108</v>
      </c>
      <c r="C56" s="56">
        <f>C49/C48</f>
        <v>1.2255369928400954</v>
      </c>
      <c r="E56" s="55">
        <f>E34/E48</f>
        <v>16.401629629629628</v>
      </c>
      <c r="F56" s="4" t="s">
        <v>110</v>
      </c>
    </row>
    <row r="57" spans="1:6">
      <c r="A57" s="4" t="s">
        <v>109</v>
      </c>
      <c r="C57" s="8">
        <f>C34/C50</f>
        <v>122.36477272727272</v>
      </c>
      <c r="E57" s="55">
        <f>E51/(E36/31)</f>
        <v>15.017020162346164</v>
      </c>
      <c r="F57" s="4" t="s">
        <v>111</v>
      </c>
    </row>
    <row r="58" spans="1:6">
      <c r="A58" s="4" t="s">
        <v>114</v>
      </c>
      <c r="C58" s="55">
        <f>C34/(C47*31)</f>
        <v>77.190681003584231</v>
      </c>
    </row>
  </sheetData>
  <sheetProtection password="A166" sheet="1"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opLeftCell="A100" workbookViewId="0">
      <selection activeCell="E74" sqref="E74"/>
    </sheetView>
  </sheetViews>
  <sheetFormatPr defaultRowHeight="14.25"/>
  <cols>
    <col min="1" max="1" width="32.28515625" style="4" customWidth="1"/>
    <col min="2" max="6" width="13.7109375" style="4" customWidth="1"/>
    <col min="7" max="16384" width="9.140625" style="4"/>
  </cols>
  <sheetData>
    <row r="1" spans="1:3" ht="15">
      <c r="A1" s="3" t="s">
        <v>365</v>
      </c>
    </row>
    <row r="2" spans="1:3" ht="15">
      <c r="A2" s="3" t="s">
        <v>120</v>
      </c>
    </row>
    <row r="3" spans="1:3" ht="15">
      <c r="A3" s="3"/>
    </row>
    <row r="4" spans="1:3" s="3" customFormat="1" ht="15">
      <c r="A4" s="3" t="s">
        <v>2</v>
      </c>
      <c r="B4" s="3">
        <v>132000</v>
      </c>
      <c r="C4" s="36">
        <f t="shared" ref="C4:C9" si="0">B4/$B$4</f>
        <v>1</v>
      </c>
    </row>
    <row r="5" spans="1:3" ht="15">
      <c r="A5" s="4" t="s">
        <v>3</v>
      </c>
      <c r="B5" s="4">
        <v>53000</v>
      </c>
      <c r="C5" s="36">
        <f t="shared" si="0"/>
        <v>0.40151515151515149</v>
      </c>
    </row>
    <row r="6" spans="1:3" s="3" customFormat="1" ht="14.25" customHeight="1">
      <c r="A6" s="3" t="s">
        <v>4</v>
      </c>
      <c r="B6" s="3">
        <f>B4-B5</f>
        <v>79000</v>
      </c>
      <c r="C6" s="36">
        <f t="shared" si="0"/>
        <v>0.59848484848484851</v>
      </c>
    </row>
    <row r="7" spans="1:3" ht="15">
      <c r="A7" s="4" t="s">
        <v>116</v>
      </c>
      <c r="B7" s="4">
        <v>48000</v>
      </c>
      <c r="C7" s="36">
        <f t="shared" si="0"/>
        <v>0.36363636363636365</v>
      </c>
    </row>
    <row r="8" spans="1:3" s="3" customFormat="1" ht="15">
      <c r="A8" s="3" t="s">
        <v>70</v>
      </c>
      <c r="B8" s="3">
        <f>B6-B7</f>
        <v>31000</v>
      </c>
      <c r="C8" s="36">
        <f t="shared" si="0"/>
        <v>0.23484848484848486</v>
      </c>
    </row>
    <row r="9" spans="1:3" ht="15">
      <c r="A9" s="4" t="s">
        <v>117</v>
      </c>
      <c r="B9" s="4">
        <v>15000</v>
      </c>
      <c r="C9" s="36">
        <f t="shared" si="0"/>
        <v>0.11363636363636363</v>
      </c>
    </row>
    <row r="10" spans="1:3" s="3" customFormat="1" ht="15">
      <c r="A10" s="3" t="s">
        <v>73</v>
      </c>
      <c r="B10" s="3">
        <f>B8-B9</f>
        <v>16000</v>
      </c>
      <c r="C10" s="36">
        <f>B10/$B$4</f>
        <v>0.12121212121212122</v>
      </c>
    </row>
    <row r="12" spans="1:3">
      <c r="A12" s="4" t="s">
        <v>118</v>
      </c>
      <c r="B12" s="4">
        <v>10500</v>
      </c>
    </row>
    <row r="13" spans="1:3">
      <c r="A13" s="4" t="s">
        <v>119</v>
      </c>
      <c r="B13" s="57">
        <f>B4/B12</f>
        <v>12.571428571428571</v>
      </c>
    </row>
    <row r="15" spans="1:3" ht="15">
      <c r="A15" s="3" t="s">
        <v>121</v>
      </c>
    </row>
    <row r="17" spans="1:4" s="3" customFormat="1" ht="15">
      <c r="A17" s="3" t="s">
        <v>2</v>
      </c>
      <c r="B17" s="30">
        <f>B19/C19</f>
        <v>134198.92209701127</v>
      </c>
      <c r="C17" s="33">
        <v>1</v>
      </c>
    </row>
    <row r="18" spans="1:4">
      <c r="A18" s="4" t="s">
        <v>3</v>
      </c>
      <c r="B18" s="8">
        <f>B17*C18</f>
        <v>51198.922097011266</v>
      </c>
      <c r="C18" s="5">
        <f>C17-C19</f>
        <v>0.38151515151515147</v>
      </c>
    </row>
    <row r="19" spans="1:4" s="3" customFormat="1" ht="15">
      <c r="A19" s="3" t="s">
        <v>4</v>
      </c>
      <c r="B19" s="3">
        <f>B21+B20</f>
        <v>83000</v>
      </c>
      <c r="C19" s="31">
        <f>C6+2%</f>
        <v>0.61848484848484853</v>
      </c>
    </row>
    <row r="20" spans="1:4">
      <c r="A20" s="4" t="s">
        <v>116</v>
      </c>
      <c r="B20" s="4">
        <f>B7</f>
        <v>48000</v>
      </c>
      <c r="C20" s="32">
        <f t="shared" ref="C20:C22" si="1">B20/$B$17</f>
        <v>0.35767798466593648</v>
      </c>
    </row>
    <row r="21" spans="1:4" s="3" customFormat="1" ht="15">
      <c r="A21" s="3" t="s">
        <v>70</v>
      </c>
      <c r="B21" s="3">
        <f>B23+B22</f>
        <v>35000</v>
      </c>
      <c r="C21" s="36">
        <f t="shared" si="1"/>
        <v>0.26080686381891199</v>
      </c>
    </row>
    <row r="22" spans="1:4">
      <c r="A22" s="4" t="s">
        <v>117</v>
      </c>
      <c r="B22" s="4">
        <f>B9</f>
        <v>15000</v>
      </c>
      <c r="C22" s="32">
        <f t="shared" si="1"/>
        <v>0.11177437020810516</v>
      </c>
    </row>
    <row r="23" spans="1:4" s="3" customFormat="1" ht="15">
      <c r="A23" s="3" t="s">
        <v>73</v>
      </c>
      <c r="B23" s="3">
        <v>20000</v>
      </c>
      <c r="C23" s="36">
        <f>B23/$B$17</f>
        <v>0.14903249361080687</v>
      </c>
    </row>
    <row r="26" spans="1:4">
      <c r="A26" s="4" t="s">
        <v>119</v>
      </c>
      <c r="B26" s="57">
        <f>B13</f>
        <v>12.571428571428571</v>
      </c>
    </row>
    <row r="27" spans="1:4" ht="15">
      <c r="A27" s="4" t="s">
        <v>118</v>
      </c>
      <c r="B27" s="30">
        <f>B17/B26</f>
        <v>10674.914257716806</v>
      </c>
    </row>
    <row r="29" spans="1:4" ht="15">
      <c r="A29" s="3" t="s">
        <v>364</v>
      </c>
    </row>
    <row r="30" spans="1:4" ht="15">
      <c r="B30" s="7" t="s">
        <v>173</v>
      </c>
      <c r="C30" s="7" t="s">
        <v>122</v>
      </c>
      <c r="D30" s="7" t="s">
        <v>174</v>
      </c>
    </row>
    <row r="31" spans="1:4" ht="15">
      <c r="A31" s="3" t="s">
        <v>368</v>
      </c>
    </row>
    <row r="32" spans="1:4">
      <c r="A32" s="4" t="s">
        <v>366</v>
      </c>
      <c r="B32" s="4">
        <v>580000</v>
      </c>
      <c r="D32" s="4">
        <f>0.85*B32</f>
        <v>493000</v>
      </c>
    </row>
    <row r="33" spans="1:5">
      <c r="A33" s="4" t="s">
        <v>367</v>
      </c>
      <c r="B33" s="4">
        <v>130000</v>
      </c>
      <c r="D33" s="4">
        <f>1.1*B33</f>
        <v>143000</v>
      </c>
    </row>
    <row r="34" spans="1:5" ht="15">
      <c r="A34" s="3" t="s">
        <v>9</v>
      </c>
      <c r="B34" s="3">
        <f>SUM(B32:B33)</f>
        <v>710000</v>
      </c>
      <c r="C34" s="3"/>
      <c r="D34" s="3">
        <f>SUM(D32:D33)</f>
        <v>636000</v>
      </c>
    </row>
    <row r="35" spans="1:5" ht="15">
      <c r="A35" s="3" t="s">
        <v>369</v>
      </c>
    </row>
    <row r="36" spans="1:5" ht="15">
      <c r="A36" s="4" t="s">
        <v>370</v>
      </c>
      <c r="B36" s="4">
        <v>48000</v>
      </c>
      <c r="C36" s="31">
        <f>B36/B33</f>
        <v>0.36923076923076925</v>
      </c>
      <c r="D36" s="4">
        <f>E36*D33</f>
        <v>45617</v>
      </c>
      <c r="E36" s="31">
        <v>0.31900000000000001</v>
      </c>
    </row>
    <row r="37" spans="1:5" ht="15">
      <c r="A37" s="4" t="s">
        <v>116</v>
      </c>
      <c r="B37" s="4">
        <v>198000</v>
      </c>
      <c r="C37" s="31">
        <f>B37/B34</f>
        <v>0.27887323943661974</v>
      </c>
      <c r="D37" s="8">
        <f>E37*D34</f>
        <v>177363.38028169016</v>
      </c>
      <c r="E37" s="31">
        <f>C37</f>
        <v>0.27887323943661974</v>
      </c>
    </row>
    <row r="38" spans="1:5">
      <c r="A38" s="4" t="s">
        <v>371</v>
      </c>
      <c r="B38" s="4">
        <v>100000</v>
      </c>
      <c r="D38" s="4">
        <f>B38</f>
        <v>100000</v>
      </c>
      <c r="E38" s="5"/>
    </row>
    <row r="39" spans="1:5" ht="15">
      <c r="A39" s="4" t="s">
        <v>372</v>
      </c>
      <c r="B39" s="4">
        <f>C39*B34</f>
        <v>14200</v>
      </c>
      <c r="C39" s="31">
        <v>0.02</v>
      </c>
      <c r="D39" s="4">
        <f>E39*D34</f>
        <v>12720</v>
      </c>
      <c r="E39" s="31">
        <f>C39</f>
        <v>0.02</v>
      </c>
    </row>
    <row r="40" spans="1:5" ht="15">
      <c r="A40" s="4" t="s">
        <v>373</v>
      </c>
      <c r="B40" s="4">
        <v>105000</v>
      </c>
      <c r="C40" s="31">
        <f>B40/B32</f>
        <v>0.18103448275862069</v>
      </c>
      <c r="D40" s="4">
        <f>E40*D32</f>
        <v>89250</v>
      </c>
      <c r="E40" s="31">
        <f>C40</f>
        <v>0.18103448275862069</v>
      </c>
    </row>
    <row r="41" spans="1:5">
      <c r="A41" s="4" t="s">
        <v>375</v>
      </c>
      <c r="B41" s="4">
        <v>120000</v>
      </c>
      <c r="D41" s="4">
        <v>120000</v>
      </c>
      <c r="E41" s="5"/>
    </row>
    <row r="42" spans="1:5" ht="15">
      <c r="A42" s="3" t="s">
        <v>75</v>
      </c>
      <c r="B42" s="3">
        <f>B34-B36-B37-B38-B39-B40-B41</f>
        <v>124800</v>
      </c>
      <c r="C42" s="36">
        <f>B42/B34</f>
        <v>0.17577464788732394</v>
      </c>
      <c r="D42" s="30">
        <f>D34-D36-D37-D38-D39-D40-D41</f>
        <v>91049.619718309841</v>
      </c>
      <c r="E42" s="36">
        <f>D42/D34</f>
        <v>0.14315977943130478</v>
      </c>
    </row>
    <row r="44" spans="1:5" ht="15">
      <c r="A44" s="3" t="s">
        <v>376</v>
      </c>
    </row>
    <row r="46" spans="1:5" ht="15">
      <c r="B46" s="7" t="s">
        <v>124</v>
      </c>
      <c r="C46" s="7" t="s">
        <v>0</v>
      </c>
      <c r="D46" s="7" t="s">
        <v>46</v>
      </c>
      <c r="E46" s="7" t="s">
        <v>5</v>
      </c>
    </row>
    <row r="47" spans="1:5">
      <c r="A47" s="4" t="s">
        <v>138</v>
      </c>
      <c r="B47" s="4">
        <v>30</v>
      </c>
      <c r="C47" s="4">
        <f>1.1*B47</f>
        <v>33</v>
      </c>
      <c r="D47" s="4">
        <f>0.95*B47</f>
        <v>28.5</v>
      </c>
      <c r="E47" s="4">
        <f>1.05*B47</f>
        <v>31.5</v>
      </c>
    </row>
    <row r="48" spans="1:5">
      <c r="A48" s="4" t="s">
        <v>125</v>
      </c>
      <c r="B48" s="4">
        <v>400</v>
      </c>
      <c r="C48" s="4">
        <f>1.05*B48</f>
        <v>420</v>
      </c>
      <c r="D48" s="4">
        <f>1.1*B48</f>
        <v>440.00000000000006</v>
      </c>
      <c r="E48" s="4">
        <f>B48</f>
        <v>400</v>
      </c>
    </row>
    <row r="49" spans="1:5">
      <c r="A49" s="4" t="s">
        <v>126</v>
      </c>
      <c r="B49" s="4">
        <v>100</v>
      </c>
      <c r="C49" s="4">
        <f>B49</f>
        <v>100</v>
      </c>
      <c r="D49" s="4">
        <f>B49</f>
        <v>100</v>
      </c>
      <c r="E49" s="4">
        <v>116</v>
      </c>
    </row>
    <row r="50" spans="1:5">
      <c r="A50" s="4" t="s">
        <v>127</v>
      </c>
      <c r="B50" s="4">
        <v>12</v>
      </c>
      <c r="C50" s="4">
        <v>12</v>
      </c>
      <c r="D50" s="4">
        <v>12</v>
      </c>
      <c r="E50" s="4">
        <v>12</v>
      </c>
    </row>
    <row r="51" spans="1:5">
      <c r="A51" s="4" t="s">
        <v>128</v>
      </c>
      <c r="B51" s="32">
        <f>B57/B54</f>
        <v>0.4</v>
      </c>
      <c r="C51" s="5">
        <f>B51</f>
        <v>0.4</v>
      </c>
      <c r="D51" s="5">
        <f>B51</f>
        <v>0.4</v>
      </c>
      <c r="E51" s="32">
        <f>40/95</f>
        <v>0.42105263157894735</v>
      </c>
    </row>
    <row r="53" spans="1:5" ht="15">
      <c r="A53" s="3" t="s">
        <v>129</v>
      </c>
      <c r="B53" s="4">
        <f>B47*B48*B50</f>
        <v>144000</v>
      </c>
      <c r="C53" s="4">
        <f>C47*C48*C50</f>
        <v>166320</v>
      </c>
      <c r="D53" s="4">
        <f>D47*D48*D50</f>
        <v>150480.00000000003</v>
      </c>
      <c r="E53" s="4">
        <f>E47*E48*E50</f>
        <v>151200</v>
      </c>
    </row>
    <row r="54" spans="1:5" ht="15">
      <c r="A54" s="3" t="s">
        <v>130</v>
      </c>
      <c r="B54" s="4">
        <f>B47*B49*B50</f>
        <v>36000</v>
      </c>
      <c r="C54" s="4">
        <f>C47*C49*C50</f>
        <v>39600</v>
      </c>
      <c r="D54" s="4">
        <f>D47*D49*D50</f>
        <v>34200</v>
      </c>
      <c r="E54" s="4">
        <f>E47*E49*E50</f>
        <v>43848</v>
      </c>
    </row>
    <row r="55" spans="1:5" ht="15">
      <c r="A55" s="4" t="s">
        <v>7</v>
      </c>
      <c r="B55" s="3">
        <f>SUM(B53:B54)</f>
        <v>180000</v>
      </c>
      <c r="C55" s="3">
        <f>SUM(C53:C54)</f>
        <v>205920</v>
      </c>
      <c r="D55" s="3">
        <f>SUM(D53:D54)</f>
        <v>184680.00000000003</v>
      </c>
      <c r="E55" s="3">
        <f>SUM(E53:E54)</f>
        <v>195048</v>
      </c>
    </row>
    <row r="56" spans="1:5" ht="15">
      <c r="A56" s="3" t="s">
        <v>131</v>
      </c>
    </row>
    <row r="57" spans="1:5">
      <c r="A57" s="4" t="s">
        <v>132</v>
      </c>
      <c r="B57" s="4">
        <v>14400</v>
      </c>
      <c r="C57" s="4">
        <f>C51*C54</f>
        <v>15840</v>
      </c>
      <c r="D57" s="4">
        <f>D51*D54</f>
        <v>13680</v>
      </c>
      <c r="E57" s="8">
        <f>E51*E54</f>
        <v>18462.315789473683</v>
      </c>
    </row>
    <row r="58" spans="1:5">
      <c r="A58" s="4" t="s">
        <v>133</v>
      </c>
      <c r="B58" s="4">
        <v>10000</v>
      </c>
      <c r="C58" s="4">
        <f>($B$58/$B$47)*C47</f>
        <v>11000</v>
      </c>
      <c r="D58" s="4">
        <f t="shared" ref="D58:E58" si="2">($B$58/$B$47)*D47</f>
        <v>9500</v>
      </c>
      <c r="E58" s="4">
        <f t="shared" si="2"/>
        <v>10500</v>
      </c>
    </row>
    <row r="59" spans="1:5">
      <c r="A59" s="4" t="s">
        <v>134</v>
      </c>
      <c r="B59" s="4">
        <v>21600</v>
      </c>
      <c r="C59" s="4">
        <f>($B$59/$B$47)*C47</f>
        <v>23760</v>
      </c>
      <c r="D59" s="4">
        <f t="shared" ref="D59:E59" si="3">($B$59/$B$47)*D47</f>
        <v>20520</v>
      </c>
      <c r="E59" s="4">
        <f t="shared" si="3"/>
        <v>22680</v>
      </c>
    </row>
    <row r="60" spans="1:5" ht="15">
      <c r="A60" s="3" t="s">
        <v>31</v>
      </c>
      <c r="B60" s="3">
        <f>B55-B57-B58-B59</f>
        <v>134000</v>
      </c>
      <c r="C60" s="3">
        <f>C55-C57-C58-C59</f>
        <v>155320</v>
      </c>
      <c r="D60" s="3">
        <f>D55-D57-D58-D59</f>
        <v>140980.00000000003</v>
      </c>
      <c r="E60" s="30">
        <f>E55-E57-E58-E59</f>
        <v>143405.68421052632</v>
      </c>
    </row>
    <row r="61" spans="1:5" ht="15">
      <c r="A61" s="3" t="s">
        <v>135</v>
      </c>
    </row>
    <row r="62" spans="1:5">
      <c r="A62" s="4" t="s">
        <v>123</v>
      </c>
      <c r="B62" s="4">
        <v>70000</v>
      </c>
      <c r="C62" s="4">
        <f>1.05*B62</f>
        <v>73500</v>
      </c>
      <c r="D62" s="4">
        <f>C62</f>
        <v>73500</v>
      </c>
      <c r="E62" s="4">
        <f>D62</f>
        <v>73500</v>
      </c>
    </row>
    <row r="63" spans="1:5">
      <c r="A63" s="4" t="s">
        <v>134</v>
      </c>
      <c r="B63" s="4">
        <v>14400</v>
      </c>
      <c r="C63" s="4">
        <f>1.05*B63</f>
        <v>15120</v>
      </c>
      <c r="D63" s="4">
        <f>C63</f>
        <v>15120</v>
      </c>
      <c r="E63" s="4">
        <f>D63</f>
        <v>15120</v>
      </c>
    </row>
    <row r="64" spans="1:5">
      <c r="A64" s="4" t="s">
        <v>136</v>
      </c>
      <c r="B64" s="4">
        <v>20000</v>
      </c>
      <c r="C64" s="4">
        <f>B64*1.05+10000</f>
        <v>31000</v>
      </c>
      <c r="D64" s="4">
        <f>B64*1.05</f>
        <v>21000</v>
      </c>
      <c r="E64" s="4">
        <f>D64</f>
        <v>21000</v>
      </c>
    </row>
    <row r="65" spans="1:6" ht="15">
      <c r="A65" s="3" t="s">
        <v>137</v>
      </c>
      <c r="B65" s="3">
        <f>B60-B62-B63-B64</f>
        <v>29600</v>
      </c>
      <c r="C65" s="3">
        <f>C60-C62-C63-C64</f>
        <v>35700</v>
      </c>
      <c r="D65" s="3">
        <f>D60-D62-D63-D64</f>
        <v>31360.000000000029</v>
      </c>
      <c r="E65" s="30">
        <f>E60-E62-E63-E64</f>
        <v>33785.68421052632</v>
      </c>
    </row>
    <row r="67" spans="1:6" ht="15">
      <c r="A67" s="3" t="s">
        <v>377</v>
      </c>
    </row>
    <row r="69" spans="1:6" ht="15">
      <c r="A69" s="3" t="s">
        <v>145</v>
      </c>
      <c r="B69" s="7" t="s">
        <v>90</v>
      </c>
      <c r="C69" s="7" t="s">
        <v>91</v>
      </c>
      <c r="D69" s="7"/>
      <c r="E69" s="7" t="s">
        <v>254</v>
      </c>
    </row>
    <row r="70" spans="1:6" ht="15">
      <c r="A70" s="4" t="s">
        <v>2</v>
      </c>
      <c r="B70" s="3">
        <v>315000</v>
      </c>
      <c r="C70" s="3">
        <v>144000</v>
      </c>
      <c r="D70" s="3"/>
      <c r="E70" s="3">
        <f>B70+C70</f>
        <v>459000</v>
      </c>
    </row>
    <row r="71" spans="1:6">
      <c r="A71" s="4" t="s">
        <v>383</v>
      </c>
      <c r="C71" s="4">
        <v>49000</v>
      </c>
      <c r="E71" s="4">
        <f>C71</f>
        <v>49000</v>
      </c>
    </row>
    <row r="72" spans="1:6">
      <c r="A72" s="4" t="s">
        <v>378</v>
      </c>
      <c r="B72" s="4">
        <v>18000</v>
      </c>
      <c r="E72" s="4">
        <f>B72</f>
        <v>18000</v>
      </c>
    </row>
    <row r="73" spans="1:6">
      <c r="A73" s="4" t="s">
        <v>379</v>
      </c>
      <c r="B73" s="4">
        <f>0.5*76000</f>
        <v>38000</v>
      </c>
      <c r="E73" s="4">
        <f>B73</f>
        <v>38000</v>
      </c>
    </row>
    <row r="74" spans="1:6" ht="15">
      <c r="A74" s="4" t="s">
        <v>123</v>
      </c>
      <c r="E74" s="4">
        <f>0.25*138000</f>
        <v>34500</v>
      </c>
      <c r="F74" s="58">
        <f>E74/E70</f>
        <v>7.5163398692810454E-2</v>
      </c>
    </row>
    <row r="75" spans="1:6" ht="15">
      <c r="A75" s="3" t="s">
        <v>380</v>
      </c>
      <c r="B75" s="3">
        <f>B70-B72-B73</f>
        <v>259000</v>
      </c>
      <c r="C75" s="3">
        <f>C70-C71</f>
        <v>95000</v>
      </c>
      <c r="D75" s="31">
        <f>C75/C70</f>
        <v>0.65972222222222221</v>
      </c>
      <c r="E75" s="3">
        <f>E70-E71-E72-E73-E74</f>
        <v>319500</v>
      </c>
      <c r="F75" s="36">
        <f>E75/E70</f>
        <v>0.69607843137254899</v>
      </c>
    </row>
    <row r="76" spans="1:6" ht="15">
      <c r="A76" s="3" t="s">
        <v>381</v>
      </c>
      <c r="B76" s="3"/>
      <c r="C76" s="3"/>
      <c r="D76" s="31"/>
      <c r="E76" s="3"/>
      <c r="F76" s="36"/>
    </row>
    <row r="77" spans="1:6" ht="15">
      <c r="A77" s="4" t="s">
        <v>123</v>
      </c>
      <c r="E77" s="4">
        <f>0.75*138000</f>
        <v>103500</v>
      </c>
      <c r="F77" s="3"/>
    </row>
    <row r="78" spans="1:6" ht="15">
      <c r="A78" s="4" t="s">
        <v>379</v>
      </c>
      <c r="E78" s="4">
        <f>0.5*76000</f>
        <v>38000</v>
      </c>
      <c r="F78" s="3"/>
    </row>
    <row r="79" spans="1:6" ht="15">
      <c r="A79" s="4" t="s">
        <v>374</v>
      </c>
      <c r="E79" s="4">
        <v>100000</v>
      </c>
      <c r="F79" s="3"/>
    </row>
    <row r="80" spans="1:6" ht="15">
      <c r="A80" s="3" t="s">
        <v>73</v>
      </c>
      <c r="B80" s="3"/>
      <c r="C80" s="3"/>
      <c r="D80" s="3"/>
      <c r="E80" s="3">
        <f>E75-E77-E78-E79</f>
        <v>78000</v>
      </c>
      <c r="F80" s="36">
        <f>E80/E70</f>
        <v>0.16993464052287582</v>
      </c>
    </row>
    <row r="81" spans="1:6" ht="15">
      <c r="A81" s="3" t="s">
        <v>139</v>
      </c>
      <c r="B81" s="3">
        <v>4500</v>
      </c>
      <c r="C81" s="3">
        <v>6000</v>
      </c>
      <c r="D81" s="3"/>
      <c r="E81" s="3"/>
    </row>
    <row r="82" spans="1:6" ht="15">
      <c r="A82" s="3" t="s">
        <v>140</v>
      </c>
      <c r="B82" s="3">
        <f>B70/B81</f>
        <v>70</v>
      </c>
      <c r="C82" s="3">
        <f>C70/C81</f>
        <v>24</v>
      </c>
    </row>
    <row r="84" spans="1:6" ht="15">
      <c r="A84" s="3" t="s">
        <v>382</v>
      </c>
    </row>
    <row r="85" spans="1:6" ht="15">
      <c r="B85" s="7" t="s">
        <v>90</v>
      </c>
      <c r="C85" s="7" t="s">
        <v>91</v>
      </c>
      <c r="D85" s="3"/>
      <c r="E85" s="7" t="s">
        <v>254</v>
      </c>
    </row>
    <row r="86" spans="1:6" ht="15">
      <c r="A86" s="4" t="s">
        <v>2</v>
      </c>
      <c r="B86" s="3">
        <f>B96*B97</f>
        <v>316350</v>
      </c>
      <c r="C86" s="3">
        <f>C96*C97</f>
        <v>158400.00000000003</v>
      </c>
      <c r="D86" s="3"/>
      <c r="E86" s="3">
        <f>B86+C86</f>
        <v>474750</v>
      </c>
    </row>
    <row r="87" spans="1:6">
      <c r="A87" s="4" t="s">
        <v>383</v>
      </c>
      <c r="C87" s="4">
        <f>C86-C91</f>
        <v>50688</v>
      </c>
      <c r="E87" s="4">
        <f>C87</f>
        <v>50688</v>
      </c>
    </row>
    <row r="88" spans="1:6">
      <c r="A88" s="4" t="s">
        <v>378</v>
      </c>
      <c r="B88" s="4">
        <f>0.95*B72</f>
        <v>17100</v>
      </c>
      <c r="E88" s="4">
        <f>B88</f>
        <v>17100</v>
      </c>
    </row>
    <row r="89" spans="1:6">
      <c r="A89" s="4" t="s">
        <v>379</v>
      </c>
      <c r="B89" s="4">
        <f>0.5*76000*0.95</f>
        <v>36100</v>
      </c>
      <c r="E89" s="4">
        <f>B89</f>
        <v>36100</v>
      </c>
    </row>
    <row r="90" spans="1:6" ht="15">
      <c r="A90" s="4" t="s">
        <v>123</v>
      </c>
      <c r="E90" s="8">
        <f>F90*E86</f>
        <v>35683.823529411762</v>
      </c>
      <c r="F90" s="58">
        <f>F74</f>
        <v>7.5163398692810454E-2</v>
      </c>
    </row>
    <row r="91" spans="1:6" ht="15">
      <c r="A91" s="3" t="s">
        <v>380</v>
      </c>
      <c r="B91" s="3">
        <f>B86-B88-B89</f>
        <v>263150</v>
      </c>
      <c r="C91" s="3">
        <f>D91*C86</f>
        <v>107712.00000000003</v>
      </c>
      <c r="D91" s="31">
        <v>0.68</v>
      </c>
      <c r="E91" s="30">
        <f>E86-E87-E88-E89-E90</f>
        <v>335178.17647058825</v>
      </c>
      <c r="F91" s="36">
        <f>E91/E86</f>
        <v>0.70600985038565189</v>
      </c>
    </row>
    <row r="92" spans="1:6">
      <c r="A92" s="4" t="s">
        <v>123</v>
      </c>
      <c r="E92" s="4">
        <f>0.75*138000</f>
        <v>103500</v>
      </c>
    </row>
    <row r="93" spans="1:6">
      <c r="A93" s="4" t="s">
        <v>379</v>
      </c>
      <c r="E93" s="4">
        <f>0.5*76000</f>
        <v>38000</v>
      </c>
    </row>
    <row r="94" spans="1:6">
      <c r="A94" s="4" t="s">
        <v>374</v>
      </c>
      <c r="E94" s="4">
        <f>E79+6000</f>
        <v>106000</v>
      </c>
    </row>
    <row r="95" spans="1:6" ht="15">
      <c r="A95" s="3" t="s">
        <v>73</v>
      </c>
      <c r="B95" s="3"/>
      <c r="C95" s="3"/>
      <c r="D95" s="3"/>
      <c r="E95" s="30">
        <f>E91-E92-E93-E94</f>
        <v>87678.176470588252</v>
      </c>
      <c r="F95" s="36">
        <f>E95/E86</f>
        <v>0.18468283616764244</v>
      </c>
    </row>
    <row r="96" spans="1:6" ht="15">
      <c r="A96" s="3" t="s">
        <v>139</v>
      </c>
      <c r="B96" s="3">
        <f>B81*0.95</f>
        <v>4275</v>
      </c>
      <c r="C96" s="3">
        <f>C81*1.1</f>
        <v>6600.0000000000009</v>
      </c>
      <c r="D96" s="3"/>
      <c r="E96" s="3"/>
    </row>
    <row r="97" spans="1:6" ht="15">
      <c r="A97" s="3" t="s">
        <v>384</v>
      </c>
      <c r="B97" s="3">
        <f>B82+4</f>
        <v>74</v>
      </c>
      <c r="C97" s="3">
        <f>C82</f>
        <v>24</v>
      </c>
    </row>
    <row r="99" spans="1:6" ht="15">
      <c r="A99" s="3" t="s">
        <v>385</v>
      </c>
    </row>
    <row r="100" spans="1:6" ht="15">
      <c r="A100" s="3"/>
    </row>
    <row r="101" spans="1:6" ht="15">
      <c r="A101" s="59" t="s">
        <v>141</v>
      </c>
    </row>
    <row r="102" spans="1:6" ht="15">
      <c r="A102" s="3" t="s">
        <v>368</v>
      </c>
      <c r="B102" s="7" t="s">
        <v>386</v>
      </c>
      <c r="C102" s="7" t="s">
        <v>387</v>
      </c>
      <c r="D102" s="7" t="s">
        <v>7</v>
      </c>
      <c r="E102" s="7" t="s">
        <v>122</v>
      </c>
    </row>
    <row r="103" spans="1:6" ht="15">
      <c r="A103" s="4" t="s">
        <v>90</v>
      </c>
      <c r="B103" s="4">
        <v>3500</v>
      </c>
      <c r="C103" s="55">
        <f>D103/B103</f>
        <v>128.57142857142858</v>
      </c>
      <c r="D103" s="4">
        <v>450000</v>
      </c>
      <c r="E103" s="3"/>
    </row>
    <row r="104" spans="1:6" ht="15">
      <c r="A104" s="4" t="s">
        <v>91</v>
      </c>
      <c r="D104" s="4">
        <v>220000</v>
      </c>
      <c r="E104" s="3"/>
    </row>
    <row r="105" spans="1:6" ht="15">
      <c r="A105" s="4" t="s">
        <v>388</v>
      </c>
      <c r="B105" s="4">
        <v>600</v>
      </c>
      <c r="C105" s="4">
        <f>D105/B105</f>
        <v>300</v>
      </c>
      <c r="D105" s="4">
        <v>180000</v>
      </c>
      <c r="E105" s="3"/>
    </row>
    <row r="106" spans="1:6" ht="15">
      <c r="A106" s="3" t="s">
        <v>395</v>
      </c>
      <c r="D106" s="3">
        <f>SUM(D103:D105)</f>
        <v>850000</v>
      </c>
      <c r="E106" s="3"/>
    </row>
    <row r="107" spans="1:6" ht="15">
      <c r="A107" s="3" t="s">
        <v>369</v>
      </c>
      <c r="E107" s="3"/>
    </row>
    <row r="108" spans="1:6" ht="15">
      <c r="A108" s="4" t="s">
        <v>389</v>
      </c>
      <c r="D108" s="4">
        <v>77000</v>
      </c>
      <c r="E108" s="36">
        <f>D108/D104</f>
        <v>0.35</v>
      </c>
      <c r="F108" s="4" t="s">
        <v>142</v>
      </c>
    </row>
    <row r="109" spans="1:6" ht="15">
      <c r="A109" s="4" t="s">
        <v>390</v>
      </c>
      <c r="B109" s="4">
        <f>B103</f>
        <v>3500</v>
      </c>
      <c r="C109" s="55">
        <f>D109/B109</f>
        <v>25.714285714285715</v>
      </c>
      <c r="D109" s="4">
        <v>90000</v>
      </c>
      <c r="E109" s="3"/>
    </row>
    <row r="110" spans="1:6" ht="15">
      <c r="A110" s="4" t="s">
        <v>391</v>
      </c>
      <c r="B110" s="4">
        <f>B105</f>
        <v>600</v>
      </c>
      <c r="C110" s="4">
        <f>D110/B110</f>
        <v>225</v>
      </c>
      <c r="D110" s="4">
        <v>135000</v>
      </c>
      <c r="E110" s="3"/>
    </row>
    <row r="111" spans="1:6" ht="15">
      <c r="A111" s="4" t="s">
        <v>392</v>
      </c>
      <c r="D111" s="4">
        <v>210000</v>
      </c>
      <c r="E111" s="36">
        <f>D111/(D103+D104)</f>
        <v>0.31343283582089554</v>
      </c>
      <c r="F111" s="4" t="s">
        <v>143</v>
      </c>
    </row>
    <row r="112" spans="1:6" ht="15">
      <c r="A112" s="4" t="s">
        <v>393</v>
      </c>
      <c r="B112" s="4">
        <f>B103</f>
        <v>3500</v>
      </c>
      <c r="C112" s="55">
        <f>D112/B112</f>
        <v>30.857142857142858</v>
      </c>
      <c r="D112" s="4">
        <f>180000*0.6</f>
        <v>108000</v>
      </c>
      <c r="E112" s="3"/>
    </row>
    <row r="113" spans="1:6" ht="15">
      <c r="A113" s="4" t="s">
        <v>394</v>
      </c>
      <c r="D113" s="4">
        <f>180000-D112</f>
        <v>72000</v>
      </c>
      <c r="E113" s="3"/>
    </row>
    <row r="114" spans="1:6" ht="15">
      <c r="A114" s="4" t="s">
        <v>374</v>
      </c>
      <c r="D114" s="4">
        <v>50000</v>
      </c>
      <c r="E114" s="3"/>
    </row>
    <row r="115" spans="1:6" ht="15">
      <c r="A115" s="3" t="s">
        <v>73</v>
      </c>
      <c r="D115" s="3">
        <f>D106-D108-D109-D110-D111-D112-D113-D114</f>
        <v>108000</v>
      </c>
      <c r="E115" s="36">
        <f>D115/D106</f>
        <v>0.12705882352941175</v>
      </c>
      <c r="F115" s="4" t="s">
        <v>144</v>
      </c>
    </row>
    <row r="116" spans="1:6" ht="15">
      <c r="E116" s="3"/>
    </row>
    <row r="117" spans="1:6" ht="15">
      <c r="A117" s="59" t="s">
        <v>145</v>
      </c>
    </row>
    <row r="119" spans="1:6" ht="15">
      <c r="A119" s="3" t="s">
        <v>368</v>
      </c>
      <c r="B119" s="7" t="s">
        <v>386</v>
      </c>
      <c r="C119" s="7" t="s">
        <v>387</v>
      </c>
      <c r="D119" s="7" t="s">
        <v>7</v>
      </c>
      <c r="E119" s="7" t="s">
        <v>122</v>
      </c>
    </row>
    <row r="120" spans="1:6" ht="15">
      <c r="A120" s="4" t="s">
        <v>90</v>
      </c>
      <c r="B120" s="4">
        <f>B103*1.15</f>
        <v>4024.9999999999995</v>
      </c>
      <c r="C120" s="55">
        <f>C103*1.1</f>
        <v>141.42857142857144</v>
      </c>
      <c r="D120" s="4">
        <f>B120*C120</f>
        <v>569250</v>
      </c>
      <c r="E120" s="3"/>
    </row>
    <row r="121" spans="1:6" ht="15">
      <c r="A121" s="4" t="s">
        <v>91</v>
      </c>
      <c r="D121" s="4">
        <f>D104*1.2</f>
        <v>264000</v>
      </c>
      <c r="E121" s="3"/>
    </row>
    <row r="122" spans="1:6" ht="15">
      <c r="A122" s="4" t="s">
        <v>388</v>
      </c>
      <c r="B122" s="4">
        <v>700</v>
      </c>
      <c r="C122" s="4">
        <f>C105</f>
        <v>300</v>
      </c>
      <c r="D122" s="4">
        <f>B122*C122</f>
        <v>210000</v>
      </c>
      <c r="E122" s="3"/>
    </row>
    <row r="123" spans="1:6" ht="15">
      <c r="A123" s="3" t="s">
        <v>395</v>
      </c>
      <c r="D123" s="3">
        <f>SUM(D120:D122)</f>
        <v>1043250</v>
      </c>
      <c r="E123" s="3"/>
    </row>
    <row r="124" spans="1:6" ht="15">
      <c r="A124" s="3" t="s">
        <v>369</v>
      </c>
      <c r="E124" s="3"/>
    </row>
    <row r="125" spans="1:6" ht="15">
      <c r="A125" s="4" t="s">
        <v>389</v>
      </c>
      <c r="D125" s="4">
        <f>E125*D121</f>
        <v>87120</v>
      </c>
      <c r="E125" s="36">
        <v>0.33</v>
      </c>
      <c r="F125" s="4" t="s">
        <v>142</v>
      </c>
    </row>
    <row r="126" spans="1:6" ht="15">
      <c r="A126" s="4" t="s">
        <v>390</v>
      </c>
      <c r="B126" s="4">
        <f>B120</f>
        <v>4024.9999999999995</v>
      </c>
      <c r="C126" s="55">
        <f>C109</f>
        <v>25.714285714285715</v>
      </c>
      <c r="D126" s="4">
        <f>B126*C126</f>
        <v>103499.99999999999</v>
      </c>
      <c r="E126" s="3"/>
    </row>
    <row r="127" spans="1:6" ht="15">
      <c r="A127" s="4" t="s">
        <v>391</v>
      </c>
      <c r="B127" s="4">
        <f>B122</f>
        <v>700</v>
      </c>
      <c r="C127" s="4">
        <f>C110</f>
        <v>225</v>
      </c>
      <c r="D127" s="4">
        <f>B127*C127</f>
        <v>157500</v>
      </c>
      <c r="E127" s="3"/>
    </row>
    <row r="128" spans="1:6" ht="15">
      <c r="A128" s="4" t="s">
        <v>392</v>
      </c>
      <c r="D128" s="8">
        <f>E128*(D120+D121)</f>
        <v>261167.91044776121</v>
      </c>
      <c r="E128" s="36">
        <f>E111</f>
        <v>0.31343283582089554</v>
      </c>
      <c r="F128" s="4" t="s">
        <v>143</v>
      </c>
    </row>
    <row r="129" spans="1:6" ht="15">
      <c r="A129" s="4" t="s">
        <v>393</v>
      </c>
      <c r="B129" s="4">
        <f>B120</f>
        <v>4024.9999999999995</v>
      </c>
      <c r="C129" s="55">
        <f>C112</f>
        <v>30.857142857142858</v>
      </c>
      <c r="D129" s="4">
        <f>B129*C129</f>
        <v>124199.99999999999</v>
      </c>
      <c r="E129" s="3"/>
    </row>
    <row r="130" spans="1:6" ht="15">
      <c r="A130" s="4" t="s">
        <v>394</v>
      </c>
      <c r="D130" s="4">
        <f>D113</f>
        <v>72000</v>
      </c>
      <c r="E130" s="3"/>
    </row>
    <row r="131" spans="1:6" ht="15">
      <c r="A131" s="4" t="s">
        <v>374</v>
      </c>
      <c r="D131" s="4">
        <v>50000</v>
      </c>
      <c r="E131" s="3"/>
    </row>
    <row r="132" spans="1:6" ht="15">
      <c r="A132" s="3" t="s">
        <v>73</v>
      </c>
      <c r="D132" s="30">
        <f>D123-D125-D126-D127-D128-D129-D130-D131</f>
        <v>187762.08955223882</v>
      </c>
      <c r="E132" s="36">
        <f>D132/D123</f>
        <v>0.17997803935033674</v>
      </c>
      <c r="F132" s="4" t="s">
        <v>144</v>
      </c>
    </row>
    <row r="134" spans="1:6" ht="15">
      <c r="A134" s="3" t="s">
        <v>396</v>
      </c>
    </row>
    <row r="135" spans="1:6" ht="15">
      <c r="A135" s="3"/>
    </row>
    <row r="136" spans="1:6" ht="15">
      <c r="A136" s="59" t="s">
        <v>141</v>
      </c>
    </row>
    <row r="137" spans="1:6" ht="15">
      <c r="A137" s="59"/>
    </row>
    <row r="138" spans="1:6" ht="15">
      <c r="A138" s="3" t="s">
        <v>146</v>
      </c>
      <c r="B138" s="3">
        <f>160*28*50%</f>
        <v>2240</v>
      </c>
    </row>
    <row r="139" spans="1:6" ht="15">
      <c r="A139" s="3" t="s">
        <v>147</v>
      </c>
      <c r="B139" s="3">
        <f>B138*1.6</f>
        <v>3584</v>
      </c>
    </row>
    <row r="140" spans="1:6" ht="15">
      <c r="A140" s="3" t="s">
        <v>148</v>
      </c>
      <c r="B140" s="3">
        <f>180*28*3</f>
        <v>15120</v>
      </c>
    </row>
    <row r="142" spans="1:6" ht="15">
      <c r="A142" s="3" t="s">
        <v>368</v>
      </c>
      <c r="B142" s="7" t="s">
        <v>386</v>
      </c>
      <c r="C142" s="7" t="s">
        <v>387</v>
      </c>
      <c r="D142" s="7" t="s">
        <v>7</v>
      </c>
      <c r="E142" s="7" t="s">
        <v>122</v>
      </c>
    </row>
    <row r="143" spans="1:6" ht="15">
      <c r="A143" s="4" t="s">
        <v>90</v>
      </c>
      <c r="B143" s="4">
        <f>B138</f>
        <v>2240</v>
      </c>
      <c r="C143" s="55">
        <f>D143/B143</f>
        <v>111.60714285714286</v>
      </c>
      <c r="D143" s="4">
        <v>250000</v>
      </c>
      <c r="E143" s="3"/>
    </row>
    <row r="144" spans="1:6" ht="15">
      <c r="A144" s="4" t="s">
        <v>91</v>
      </c>
      <c r="B144" s="4">
        <f>B140</f>
        <v>15120</v>
      </c>
      <c r="C144" s="55">
        <f>D144/B144</f>
        <v>12.566137566137566</v>
      </c>
      <c r="D144" s="4">
        <v>190000</v>
      </c>
      <c r="E144" s="3"/>
    </row>
    <row r="145" spans="1:6" ht="15">
      <c r="A145" s="3" t="s">
        <v>395</v>
      </c>
      <c r="D145" s="3">
        <f>SUM(D143:D144)</f>
        <v>440000</v>
      </c>
      <c r="E145" s="3"/>
    </row>
    <row r="146" spans="1:6" ht="15">
      <c r="A146" s="3" t="s">
        <v>369</v>
      </c>
      <c r="E146" s="3"/>
    </row>
    <row r="147" spans="1:6" ht="15">
      <c r="A147" s="4" t="s">
        <v>389</v>
      </c>
      <c r="D147" s="4">
        <v>56000</v>
      </c>
      <c r="E147" s="36">
        <f>D147/D144</f>
        <v>0.29473684210526313</v>
      </c>
      <c r="F147" s="4" t="s">
        <v>142</v>
      </c>
    </row>
    <row r="148" spans="1:6" ht="15">
      <c r="A148" s="4" t="s">
        <v>390</v>
      </c>
      <c r="B148" s="4">
        <f>B143</f>
        <v>2240</v>
      </c>
      <c r="C148" s="8">
        <f>D148/B148</f>
        <v>24.107142857142858</v>
      </c>
      <c r="D148" s="4">
        <v>54000</v>
      </c>
      <c r="E148" s="3"/>
    </row>
    <row r="149" spans="1:6" ht="15">
      <c r="A149" s="4" t="s">
        <v>149</v>
      </c>
      <c r="D149" s="4">
        <v>68000</v>
      </c>
      <c r="E149" s="36">
        <f>D149/(D143+D144)</f>
        <v>0.15454545454545454</v>
      </c>
      <c r="F149" s="4" t="s">
        <v>143</v>
      </c>
    </row>
    <row r="150" spans="1:6" ht="15">
      <c r="A150" s="4" t="s">
        <v>150</v>
      </c>
      <c r="D150" s="4">
        <v>64000</v>
      </c>
      <c r="E150" s="36">
        <f>D150/D145</f>
        <v>0.14545454545454545</v>
      </c>
    </row>
    <row r="151" spans="1:6" ht="15">
      <c r="A151" s="4" t="s">
        <v>397</v>
      </c>
      <c r="B151" s="4">
        <f>B139</f>
        <v>3584</v>
      </c>
      <c r="C151" s="8">
        <f>D151/B151</f>
        <v>3.515625</v>
      </c>
      <c r="D151" s="4">
        <v>12600</v>
      </c>
      <c r="E151" s="3"/>
    </row>
    <row r="152" spans="1:6" ht="15">
      <c r="A152" s="4" t="s">
        <v>398</v>
      </c>
      <c r="D152" s="4">
        <v>105400</v>
      </c>
      <c r="E152" s="3"/>
    </row>
    <row r="153" spans="1:6" ht="15">
      <c r="A153" s="3" t="s">
        <v>75</v>
      </c>
      <c r="D153" s="3">
        <f>D145-D147-D148-D149-D150-D151-D152</f>
        <v>80000</v>
      </c>
      <c r="E153" s="36">
        <f>D153/D145</f>
        <v>0.18181818181818182</v>
      </c>
      <c r="F153" s="4" t="s">
        <v>144</v>
      </c>
    </row>
    <row r="154" spans="1:6" ht="15">
      <c r="E154" s="3"/>
    </row>
    <row r="155" spans="1:6" ht="15">
      <c r="A155" s="59" t="s">
        <v>145</v>
      </c>
    </row>
    <row r="157" spans="1:6" ht="15">
      <c r="A157" s="3" t="s">
        <v>146</v>
      </c>
      <c r="B157" s="60">
        <f>0.6*31*160</f>
        <v>2975.9999999999995</v>
      </c>
      <c r="C157" s="7"/>
      <c r="D157" s="7"/>
      <c r="E157" s="7"/>
    </row>
    <row r="158" spans="1:6" ht="15">
      <c r="A158" s="3" t="s">
        <v>147</v>
      </c>
      <c r="B158" s="30">
        <f>1.7*B157</f>
        <v>5059.1999999999989</v>
      </c>
      <c r="E158" s="3"/>
    </row>
    <row r="159" spans="1:6" ht="15">
      <c r="A159" s="3" t="s">
        <v>148</v>
      </c>
      <c r="B159" s="3">
        <f>180*3.5*31</f>
        <v>19530</v>
      </c>
      <c r="E159" s="3"/>
    </row>
    <row r="160" spans="1:6" ht="15">
      <c r="D160" s="3"/>
      <c r="E160" s="3"/>
    </row>
    <row r="161" spans="1:6" ht="15">
      <c r="A161" s="3" t="s">
        <v>368</v>
      </c>
      <c r="B161" s="7" t="s">
        <v>386</v>
      </c>
      <c r="C161" s="7" t="s">
        <v>387</v>
      </c>
      <c r="D161" s="7" t="s">
        <v>7</v>
      </c>
      <c r="E161" s="7" t="s">
        <v>122</v>
      </c>
    </row>
    <row r="162" spans="1:6" ht="15">
      <c r="A162" s="4" t="s">
        <v>90</v>
      </c>
      <c r="B162" s="4">
        <f>B157</f>
        <v>2975.9999999999995</v>
      </c>
      <c r="C162" s="55">
        <f>1.2*C143</f>
        <v>133.92857142857142</v>
      </c>
      <c r="D162" s="8">
        <f>B162*C162</f>
        <v>398571.42857142846</v>
      </c>
      <c r="E162" s="3"/>
    </row>
    <row r="163" spans="1:6" ht="15">
      <c r="A163" s="4" t="s">
        <v>91</v>
      </c>
      <c r="B163" s="4">
        <f>B159</f>
        <v>19530</v>
      </c>
      <c r="C163" s="55">
        <f>1.1*C144</f>
        <v>13.822751322751325</v>
      </c>
      <c r="D163" s="8">
        <f>B163*C163</f>
        <v>269958.33333333337</v>
      </c>
      <c r="E163" s="3"/>
    </row>
    <row r="164" spans="1:6" ht="15">
      <c r="A164" s="3" t="s">
        <v>395</v>
      </c>
      <c r="D164" s="30">
        <f>SUM(D162:D163)</f>
        <v>668529.76190476189</v>
      </c>
      <c r="E164" s="36"/>
    </row>
    <row r="165" spans="1:6" ht="15">
      <c r="A165" s="3" t="s">
        <v>369</v>
      </c>
      <c r="E165" s="3"/>
    </row>
    <row r="166" spans="1:6" ht="15">
      <c r="A166" s="4" t="s">
        <v>389</v>
      </c>
      <c r="D166" s="8">
        <f>E166*D163</f>
        <v>68768.333333333343</v>
      </c>
      <c r="E166" s="36">
        <f>E147-4%</f>
        <v>0.25473684210526315</v>
      </c>
      <c r="F166" s="4" t="s">
        <v>142</v>
      </c>
    </row>
    <row r="167" spans="1:6" ht="15">
      <c r="A167" s="4" t="s">
        <v>390</v>
      </c>
      <c r="B167" s="4">
        <f>B157</f>
        <v>2975.9999999999995</v>
      </c>
      <c r="C167" s="8">
        <f>C148</f>
        <v>24.107142857142858</v>
      </c>
      <c r="D167" s="8">
        <f>B167*C167</f>
        <v>71742.85714285713</v>
      </c>
      <c r="E167" s="3"/>
    </row>
    <row r="168" spans="1:6" ht="15">
      <c r="A168" s="4" t="s">
        <v>149</v>
      </c>
      <c r="D168" s="8">
        <f>E168*D164</f>
        <v>103318.23593073593</v>
      </c>
      <c r="E168" s="36">
        <f>E149</f>
        <v>0.15454545454545454</v>
      </c>
      <c r="F168" s="4" t="s">
        <v>143</v>
      </c>
    </row>
    <row r="169" spans="1:6">
      <c r="A169" s="4" t="s">
        <v>150</v>
      </c>
      <c r="D169" s="4">
        <f>D150</f>
        <v>64000</v>
      </c>
    </row>
    <row r="170" spans="1:6">
      <c r="A170" s="4" t="s">
        <v>397</v>
      </c>
      <c r="B170" s="8">
        <f>B158</f>
        <v>5059.1999999999989</v>
      </c>
      <c r="C170" s="8">
        <f>C151</f>
        <v>3.515625</v>
      </c>
      <c r="D170" s="8">
        <f>B170*C170</f>
        <v>17786.249999999996</v>
      </c>
    </row>
    <row r="171" spans="1:6">
      <c r="A171" s="4" t="s">
        <v>398</v>
      </c>
      <c r="D171" s="4">
        <f>D152</f>
        <v>105400</v>
      </c>
    </row>
    <row r="172" spans="1:6" ht="15">
      <c r="A172" s="3" t="s">
        <v>75</v>
      </c>
      <c r="D172" s="30">
        <f>D164-D166-D167-D168-D169-D170-D171</f>
        <v>237514.08549783542</v>
      </c>
      <c r="E172" s="36">
        <f>D172/D164</f>
        <v>0.35527825241633959</v>
      </c>
      <c r="F172" s="4" t="s">
        <v>144</v>
      </c>
    </row>
    <row r="174" spans="1:6" ht="15">
      <c r="A174" s="3" t="s">
        <v>399</v>
      </c>
      <c r="B174" s="3"/>
      <c r="C174" s="3"/>
      <c r="D174" s="3"/>
      <c r="E174" s="3"/>
      <c r="F174" s="3"/>
    </row>
    <row r="175" spans="1:6" ht="15">
      <c r="A175" s="3"/>
      <c r="B175" s="3"/>
      <c r="C175" s="3"/>
      <c r="D175" s="3"/>
      <c r="E175" s="3"/>
      <c r="F175" s="3"/>
    </row>
    <row r="176" spans="1:6" ht="15">
      <c r="B176" s="7" t="s">
        <v>168</v>
      </c>
      <c r="C176" s="3"/>
      <c r="D176" s="7" t="s">
        <v>141</v>
      </c>
      <c r="E176" s="3"/>
      <c r="F176" s="3"/>
    </row>
    <row r="177" spans="1:4">
      <c r="A177" s="4" t="s">
        <v>151</v>
      </c>
      <c r="B177" s="4">
        <v>280</v>
      </c>
      <c r="D177" s="4">
        <v>280</v>
      </c>
    </row>
    <row r="178" spans="1:4">
      <c r="A178" s="4" t="s">
        <v>152</v>
      </c>
      <c r="B178" s="4">
        <v>180</v>
      </c>
      <c r="D178" s="4">
        <v>180</v>
      </c>
    </row>
    <row r="179" spans="1:4">
      <c r="A179" s="4" t="s">
        <v>153</v>
      </c>
      <c r="B179" s="4">
        <v>31</v>
      </c>
      <c r="D179" s="4">
        <v>28</v>
      </c>
    </row>
    <row r="180" spans="1:4">
      <c r="A180" s="4" t="s">
        <v>154</v>
      </c>
      <c r="B180" s="6">
        <v>0.48</v>
      </c>
      <c r="D180" s="6">
        <v>0.65</v>
      </c>
    </row>
    <row r="181" spans="1:4">
      <c r="A181" s="4" t="s">
        <v>155</v>
      </c>
      <c r="B181" s="61">
        <f>B177*B179*B180</f>
        <v>4166.3999999999996</v>
      </c>
      <c r="D181" s="61">
        <f>D177*D179*D180</f>
        <v>5096</v>
      </c>
    </row>
    <row r="182" spans="1:4">
      <c r="A182" s="4" t="s">
        <v>400</v>
      </c>
      <c r="B182" s="56">
        <f>B189/B181</f>
        <v>84.005376344086031</v>
      </c>
      <c r="D182" s="56">
        <f>B182*1.05</f>
        <v>88.205645161290334</v>
      </c>
    </row>
    <row r="183" spans="1:4">
      <c r="A183" s="4" t="s">
        <v>156</v>
      </c>
      <c r="B183" s="56">
        <f>B197/B181</f>
        <v>17.18509984639017</v>
      </c>
      <c r="D183" s="56">
        <f>B183</f>
        <v>17.18509984639017</v>
      </c>
    </row>
    <row r="184" spans="1:4">
      <c r="A184" s="4" t="s">
        <v>401</v>
      </c>
      <c r="B184" s="4">
        <v>2.6</v>
      </c>
      <c r="D184" s="4">
        <v>3.2</v>
      </c>
    </row>
    <row r="185" spans="1:4">
      <c r="A185" s="4" t="s">
        <v>402</v>
      </c>
      <c r="B185" s="4">
        <f>B178*B179*B184</f>
        <v>14508</v>
      </c>
      <c r="D185" s="4">
        <f>D178*D179*D184</f>
        <v>16128</v>
      </c>
    </row>
    <row r="186" spans="1:4">
      <c r="A186" s="4" t="s">
        <v>403</v>
      </c>
      <c r="B186" s="55">
        <f>B190/B185</f>
        <v>21.850013785497655</v>
      </c>
      <c r="D186" s="55">
        <f>B186*1.1</f>
        <v>24.035015164047422</v>
      </c>
    </row>
    <row r="188" spans="1:4" ht="15">
      <c r="A188" s="3" t="s">
        <v>160</v>
      </c>
    </row>
    <row r="189" spans="1:4">
      <c r="A189" s="4" t="s">
        <v>257</v>
      </c>
      <c r="B189" s="4">
        <v>350000</v>
      </c>
      <c r="D189" s="8">
        <f>D181*D182</f>
        <v>449495.96774193557</v>
      </c>
    </row>
    <row r="190" spans="1:4">
      <c r="A190" s="4" t="s">
        <v>404</v>
      </c>
      <c r="B190" s="4">
        <v>317000</v>
      </c>
      <c r="D190" s="8">
        <f>D185*D186</f>
        <v>387636.72456575686</v>
      </c>
    </row>
    <row r="191" spans="1:4" s="3" customFormat="1" ht="15">
      <c r="A191" s="3" t="s">
        <v>9</v>
      </c>
      <c r="B191" s="3">
        <f>SUM(B189:B190)</f>
        <v>667000</v>
      </c>
      <c r="D191" s="30">
        <f>SUM(D189:D190)</f>
        <v>837132.69230769249</v>
      </c>
    </row>
    <row r="192" spans="1:4" ht="15">
      <c r="A192" s="3" t="s">
        <v>405</v>
      </c>
    </row>
    <row r="193" spans="1:6">
      <c r="A193" s="4" t="s">
        <v>162</v>
      </c>
      <c r="B193" s="4">
        <v>120700</v>
      </c>
      <c r="C193" s="32">
        <f>B193/B190</f>
        <v>0.38075709779179812</v>
      </c>
      <c r="D193" s="8">
        <f>C193*D190</f>
        <v>147595.43424317619</v>
      </c>
      <c r="E193" s="32">
        <f>D193/D190</f>
        <v>0.38075709779179812</v>
      </c>
    </row>
    <row r="194" spans="1:6">
      <c r="A194" s="4" t="s">
        <v>163</v>
      </c>
      <c r="B194" s="4">
        <v>108000</v>
      </c>
      <c r="C194" s="32">
        <f>B194/B189</f>
        <v>0.30857142857142855</v>
      </c>
      <c r="D194" s="8">
        <f>C194*D189</f>
        <v>138701.61290322582</v>
      </c>
      <c r="E194" s="32">
        <f>D194/D189</f>
        <v>0.30857142857142855</v>
      </c>
    </row>
    <row r="195" spans="1:6">
      <c r="A195" s="4" t="s">
        <v>164</v>
      </c>
      <c r="B195" s="4">
        <v>88000</v>
      </c>
      <c r="C195" s="32">
        <f>B195/B190</f>
        <v>0.27760252365930599</v>
      </c>
      <c r="D195" s="8">
        <f>C195*D190</f>
        <v>107608.9330024814</v>
      </c>
      <c r="E195" s="32">
        <f>D195/D190</f>
        <v>0.27760252365930599</v>
      </c>
    </row>
    <row r="196" spans="1:6">
      <c r="A196" s="4" t="s">
        <v>165</v>
      </c>
      <c r="B196" s="4">
        <v>40000</v>
      </c>
      <c r="D196" s="4">
        <v>40000</v>
      </c>
    </row>
    <row r="197" spans="1:6">
      <c r="A197" s="4" t="s">
        <v>166</v>
      </c>
      <c r="B197" s="4">
        <v>71600</v>
      </c>
      <c r="D197" s="8">
        <f>D181*D183</f>
        <v>87575.268817204298</v>
      </c>
    </row>
    <row r="198" spans="1:6">
      <c r="A198" s="4" t="s">
        <v>406</v>
      </c>
      <c r="B198" s="4">
        <v>164000</v>
      </c>
      <c r="D198" s="4">
        <v>164000</v>
      </c>
    </row>
    <row r="199" spans="1:6" s="3" customFormat="1" ht="15">
      <c r="A199" s="3" t="s">
        <v>9</v>
      </c>
      <c r="B199" s="3">
        <f>SUM(B193:B198)</f>
        <v>592300</v>
      </c>
      <c r="D199" s="30">
        <f>SUM(D193:D198)</f>
        <v>685481.2489660877</v>
      </c>
    </row>
    <row r="200" spans="1:6" s="3" customFormat="1" ht="15">
      <c r="A200" s="3" t="s">
        <v>75</v>
      </c>
      <c r="B200" s="3">
        <f>B191-B199</f>
        <v>74700</v>
      </c>
      <c r="C200" s="36">
        <f>B200/B191</f>
        <v>0.11199400299850075</v>
      </c>
      <c r="D200" s="30">
        <f>D191-D199</f>
        <v>151651.44334160478</v>
      </c>
      <c r="E200" s="36">
        <f>D200/D191</f>
        <v>0.18115580090839947</v>
      </c>
    </row>
    <row r="201" spans="1:6">
      <c r="A201" s="4" t="s">
        <v>76</v>
      </c>
      <c r="B201" s="4">
        <v>30000</v>
      </c>
      <c r="D201" s="4">
        <v>30000</v>
      </c>
    </row>
    <row r="202" spans="1:6">
      <c r="A202" s="4" t="s">
        <v>78</v>
      </c>
      <c r="B202" s="4">
        <v>17000</v>
      </c>
      <c r="D202" s="4">
        <v>17000</v>
      </c>
    </row>
    <row r="203" spans="1:6" s="3" customFormat="1" ht="15">
      <c r="A203" s="3" t="s">
        <v>308</v>
      </c>
      <c r="B203" s="3">
        <f>B200-B201-B202</f>
        <v>27700</v>
      </c>
      <c r="C203" s="36">
        <f>B203/B191</f>
        <v>4.1529235382308849E-2</v>
      </c>
      <c r="D203" s="30">
        <f>D200-D201-D202</f>
        <v>104651.44334160478</v>
      </c>
      <c r="E203" s="36">
        <f>D203/D191</f>
        <v>0.12501177448119491</v>
      </c>
    </row>
    <row r="205" spans="1:6" ht="15">
      <c r="A205" s="3" t="s">
        <v>408</v>
      </c>
      <c r="C205" s="37"/>
      <c r="F205" s="37"/>
    </row>
    <row r="206" spans="1:6" ht="15">
      <c r="A206" s="3"/>
      <c r="C206" s="37"/>
      <c r="F206" s="37"/>
    </row>
    <row r="207" spans="1:6" ht="15">
      <c r="A207" s="3"/>
      <c r="B207" s="7" t="s">
        <v>173</v>
      </c>
      <c r="C207" s="37"/>
      <c r="D207" s="7" t="s">
        <v>174</v>
      </c>
      <c r="E207" s="37"/>
    </row>
    <row r="208" spans="1:6">
      <c r="A208" s="4" t="s">
        <v>151</v>
      </c>
      <c r="B208" s="4">
        <v>200</v>
      </c>
      <c r="C208" s="37"/>
      <c r="D208" s="4">
        <f>B208</f>
        <v>200</v>
      </c>
      <c r="E208" s="37"/>
    </row>
    <row r="209" spans="1:5">
      <c r="A209" s="4" t="s">
        <v>152</v>
      </c>
      <c r="B209" s="4">
        <v>230</v>
      </c>
      <c r="C209" s="37"/>
      <c r="D209" s="4">
        <f>B209</f>
        <v>230</v>
      </c>
      <c r="E209" s="37"/>
    </row>
    <row r="210" spans="1:5">
      <c r="A210" s="4" t="s">
        <v>175</v>
      </c>
      <c r="B210" s="4">
        <v>30</v>
      </c>
      <c r="C210" s="37"/>
      <c r="D210" s="4">
        <v>31</v>
      </c>
      <c r="E210" s="37"/>
    </row>
    <row r="211" spans="1:5">
      <c r="C211" s="37"/>
      <c r="E211" s="37"/>
    </row>
    <row r="212" spans="1:5">
      <c r="A212" s="4" t="s">
        <v>154</v>
      </c>
      <c r="B212" s="6">
        <v>0.4</v>
      </c>
      <c r="C212" s="37"/>
      <c r="D212" s="6">
        <v>0.55000000000000004</v>
      </c>
      <c r="E212" s="37"/>
    </row>
    <row r="213" spans="1:5" ht="15">
      <c r="A213" s="4" t="s">
        <v>155</v>
      </c>
      <c r="B213" s="62">
        <f>B208*B210*B212</f>
        <v>2400</v>
      </c>
      <c r="C213" s="37"/>
      <c r="D213" s="62">
        <f>D208*D210*D212</f>
        <v>3410.0000000000005</v>
      </c>
      <c r="E213" s="37"/>
    </row>
    <row r="214" spans="1:5" ht="15">
      <c r="A214" s="4" t="s">
        <v>169</v>
      </c>
      <c r="B214" s="63">
        <f>B223/B213</f>
        <v>78.166666666666671</v>
      </c>
      <c r="C214" s="37"/>
      <c r="D214" s="63">
        <f>B214*1.1</f>
        <v>85.983333333333348</v>
      </c>
      <c r="E214" s="37"/>
    </row>
    <row r="215" spans="1:5" ht="15">
      <c r="A215" s="4" t="s">
        <v>156</v>
      </c>
      <c r="B215" s="63">
        <f>B233/B213</f>
        <v>18.333333333333332</v>
      </c>
      <c r="C215" s="37"/>
      <c r="D215" s="63">
        <f>B215</f>
        <v>18.333333333333332</v>
      </c>
      <c r="E215" s="37"/>
    </row>
    <row r="216" spans="1:5">
      <c r="A216" s="4" t="s">
        <v>157</v>
      </c>
      <c r="B216" s="4">
        <v>1.9</v>
      </c>
      <c r="C216" s="37"/>
      <c r="D216" s="4">
        <v>3.2</v>
      </c>
      <c r="E216" s="37"/>
    </row>
    <row r="217" spans="1:5" ht="15">
      <c r="A217" s="4" t="s">
        <v>158</v>
      </c>
      <c r="B217" s="3">
        <f>B209*B210*B216</f>
        <v>13110</v>
      </c>
      <c r="C217" s="37"/>
      <c r="D217" s="3">
        <f>D209*D210*D216</f>
        <v>22816</v>
      </c>
      <c r="E217" s="37"/>
    </row>
    <row r="218" spans="1:5" ht="15">
      <c r="A218" s="4" t="s">
        <v>159</v>
      </c>
      <c r="B218" s="49">
        <f>B224/B217</f>
        <v>17.391304347826086</v>
      </c>
      <c r="C218" s="37"/>
      <c r="D218" s="49">
        <f>B218*1.2</f>
        <v>20.869565217391301</v>
      </c>
      <c r="E218" s="37"/>
    </row>
    <row r="219" spans="1:5" ht="15">
      <c r="A219" s="4" t="s">
        <v>170</v>
      </c>
      <c r="B219" s="30">
        <v>1800</v>
      </c>
      <c r="C219" s="37"/>
      <c r="D219" s="30">
        <v>3800</v>
      </c>
      <c r="E219" s="37"/>
    </row>
    <row r="220" spans="1:5" ht="15">
      <c r="A220" s="4" t="s">
        <v>171</v>
      </c>
      <c r="B220" s="49">
        <f>B225/B219</f>
        <v>40.972222222222221</v>
      </c>
      <c r="C220" s="37"/>
      <c r="D220" s="49">
        <f>B220</f>
        <v>40.972222222222221</v>
      </c>
      <c r="E220" s="37"/>
    </row>
    <row r="221" spans="1:5" ht="15">
      <c r="B221" s="49"/>
      <c r="C221" s="37"/>
      <c r="D221" s="49"/>
      <c r="E221" s="37"/>
    </row>
    <row r="222" spans="1:5" ht="15">
      <c r="A222" s="3" t="s">
        <v>160</v>
      </c>
      <c r="C222" s="37"/>
      <c r="E222" s="37"/>
    </row>
    <row r="223" spans="1:5">
      <c r="A223" s="4" t="s">
        <v>257</v>
      </c>
      <c r="B223" s="4">
        <v>187600</v>
      </c>
      <c r="C223" s="37"/>
      <c r="D223" s="8">
        <f>D213*D214</f>
        <v>293203.16666666674</v>
      </c>
      <c r="E223" s="37"/>
    </row>
    <row r="224" spans="1:5">
      <c r="A224" s="4" t="s">
        <v>404</v>
      </c>
      <c r="B224" s="4">
        <v>228000</v>
      </c>
      <c r="C224" s="37"/>
      <c r="D224" s="8">
        <f>D217*D218</f>
        <v>476159.99999999994</v>
      </c>
      <c r="E224" s="37"/>
    </row>
    <row r="225" spans="1:5">
      <c r="A225" s="4" t="s">
        <v>407</v>
      </c>
      <c r="B225" s="4">
        <v>73750</v>
      </c>
      <c r="C225" s="37"/>
      <c r="D225" s="8">
        <f>D220*D219</f>
        <v>155694.44444444444</v>
      </c>
      <c r="E225" s="37"/>
    </row>
    <row r="226" spans="1:5" ht="15">
      <c r="A226" s="3" t="s">
        <v>9</v>
      </c>
      <c r="B226" s="3">
        <f>SUM(B223:B225)</f>
        <v>489350</v>
      </c>
      <c r="C226" s="37"/>
      <c r="D226" s="30">
        <f>SUM(D223:D225)</f>
        <v>925057.61111111124</v>
      </c>
      <c r="E226" s="37"/>
    </row>
    <row r="227" spans="1:5" ht="15">
      <c r="A227" s="3" t="s">
        <v>161</v>
      </c>
      <c r="C227" s="37"/>
      <c r="E227" s="37"/>
    </row>
    <row r="228" spans="1:5">
      <c r="A228" s="4" t="s">
        <v>162</v>
      </c>
      <c r="B228" s="4">
        <v>58000</v>
      </c>
      <c r="C228" s="46">
        <f>B228/B224</f>
        <v>0.25438596491228072</v>
      </c>
      <c r="D228" s="8">
        <f>C228*D224</f>
        <v>121128.42105263157</v>
      </c>
      <c r="E228" s="46">
        <f>D228/D224</f>
        <v>0.25438596491228072</v>
      </c>
    </row>
    <row r="229" spans="1:5">
      <c r="A229" s="4" t="s">
        <v>163</v>
      </c>
      <c r="B229" s="4">
        <v>59000</v>
      </c>
      <c r="C229" s="46">
        <f>B229/B223</f>
        <v>0.31449893390191896</v>
      </c>
      <c r="D229" s="8">
        <f>C229*D223</f>
        <v>92212.083333333358</v>
      </c>
      <c r="E229" s="46">
        <f>D229/D223</f>
        <v>0.31449893390191896</v>
      </c>
    </row>
    <row r="230" spans="1:5">
      <c r="A230" s="4" t="s">
        <v>164</v>
      </c>
      <c r="B230" s="4">
        <v>65600</v>
      </c>
      <c r="C230" s="46">
        <f>B230/B224</f>
        <v>0.28771929824561404</v>
      </c>
      <c r="D230" s="8">
        <f>C230*D224</f>
        <v>137000.42105263157</v>
      </c>
      <c r="E230" s="46">
        <f>D230/D224</f>
        <v>0.28771929824561404</v>
      </c>
    </row>
    <row r="231" spans="1:5">
      <c r="A231" s="4" t="s">
        <v>172</v>
      </c>
      <c r="B231" s="4">
        <v>25600</v>
      </c>
      <c r="C231" s="46"/>
      <c r="D231" s="8">
        <f>B231</f>
        <v>25600</v>
      </c>
      <c r="E231" s="46"/>
    </row>
    <row r="232" spans="1:5">
      <c r="A232" s="4" t="s">
        <v>165</v>
      </c>
      <c r="B232" s="4">
        <v>64000</v>
      </c>
      <c r="C232" s="37"/>
      <c r="D232" s="4">
        <f>B232</f>
        <v>64000</v>
      </c>
      <c r="E232" s="37"/>
    </row>
    <row r="233" spans="1:5">
      <c r="A233" s="4" t="s">
        <v>166</v>
      </c>
      <c r="B233" s="4">
        <v>44000</v>
      </c>
      <c r="C233" s="37"/>
      <c r="D233" s="8">
        <f>D213*D215</f>
        <v>62516.666666666672</v>
      </c>
      <c r="E233" s="37"/>
    </row>
    <row r="234" spans="1:5">
      <c r="A234" s="4" t="s">
        <v>167</v>
      </c>
      <c r="B234" s="4">
        <v>110000</v>
      </c>
      <c r="C234" s="37"/>
      <c r="D234" s="4">
        <f>B234</f>
        <v>110000</v>
      </c>
      <c r="E234" s="37"/>
    </row>
    <row r="235" spans="1:5" ht="15">
      <c r="A235" s="3" t="s">
        <v>9</v>
      </c>
      <c r="B235" s="3">
        <f>SUM(B228:B234)</f>
        <v>426200</v>
      </c>
      <c r="C235" s="37"/>
      <c r="D235" s="30">
        <f>SUM(D228:D234)</f>
        <v>612457.59210526315</v>
      </c>
      <c r="E235" s="37"/>
    </row>
    <row r="236" spans="1:5" ht="15">
      <c r="A236" s="3" t="s">
        <v>75</v>
      </c>
      <c r="B236" s="3">
        <f>B226-B235</f>
        <v>63150</v>
      </c>
      <c r="C236" s="43">
        <f>B236/B226</f>
        <v>0.12904873812199857</v>
      </c>
      <c r="D236" s="30">
        <f>D226-D235</f>
        <v>312600.01900584809</v>
      </c>
      <c r="E236" s="43">
        <f>D236/D226</f>
        <v>0.33792491975756617</v>
      </c>
    </row>
  </sheetData>
  <sheetProtection password="A166" sheet="1"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opLeftCell="A37" workbookViewId="0">
      <selection activeCell="B65" sqref="B65"/>
    </sheetView>
  </sheetViews>
  <sheetFormatPr defaultRowHeight="14.25"/>
  <cols>
    <col min="1" max="1" width="27.28515625" style="4" customWidth="1"/>
    <col min="2" max="10" width="13.28515625" style="4" customWidth="1"/>
    <col min="11" max="16384" width="9.140625" style="4"/>
  </cols>
  <sheetData>
    <row r="1" spans="1:4" ht="15">
      <c r="A1" s="3" t="s">
        <v>409</v>
      </c>
    </row>
    <row r="2" spans="1:4">
      <c r="C2" s="37" t="s">
        <v>122</v>
      </c>
    </row>
    <row r="3" spans="1:4">
      <c r="A3" s="4" t="s">
        <v>1</v>
      </c>
      <c r="B3" s="4">
        <v>76000</v>
      </c>
    </row>
    <row r="4" spans="1:4" ht="15">
      <c r="A4" s="3" t="s">
        <v>2</v>
      </c>
      <c r="B4" s="30">
        <f>B3/1.13</f>
        <v>67256.637168141606</v>
      </c>
      <c r="C4" s="31">
        <v>1</v>
      </c>
    </row>
    <row r="5" spans="1:4">
      <c r="A5" s="4" t="s">
        <v>176</v>
      </c>
      <c r="B5" s="64">
        <f>C5*$B$4</f>
        <v>26902.654867256642</v>
      </c>
      <c r="C5" s="5">
        <v>0.4</v>
      </c>
    </row>
    <row r="6" spans="1:4" ht="15">
      <c r="A6" s="3" t="s">
        <v>4</v>
      </c>
      <c r="B6" s="30">
        <f>B4-B5</f>
        <v>40353.982300884963</v>
      </c>
      <c r="C6" s="36">
        <f>B6/B4</f>
        <v>0.6</v>
      </c>
    </row>
    <row r="7" spans="1:4">
      <c r="A7" s="4" t="s">
        <v>116</v>
      </c>
      <c r="B7" s="64">
        <f>C7*$B$4</f>
        <v>21522.123893805314</v>
      </c>
      <c r="C7" s="5">
        <v>0.32</v>
      </c>
    </row>
    <row r="8" spans="1:4" ht="15">
      <c r="A8" s="3" t="s">
        <v>70</v>
      </c>
      <c r="B8" s="30">
        <f>B6-B7</f>
        <v>18831.85840707965</v>
      </c>
      <c r="C8" s="31">
        <f>B8/B4</f>
        <v>0.28000000000000003</v>
      </c>
    </row>
    <row r="10" spans="1:4" ht="15">
      <c r="A10" s="4" t="s">
        <v>177</v>
      </c>
      <c r="B10" s="54">
        <v>18</v>
      </c>
    </row>
    <row r="11" spans="1:4" ht="15">
      <c r="A11" s="4" t="s">
        <v>178</v>
      </c>
      <c r="B11" s="30">
        <f>B7/B10</f>
        <v>1195.6735496558508</v>
      </c>
    </row>
    <row r="12" spans="1:4" ht="15">
      <c r="A12" s="4" t="s">
        <v>179</v>
      </c>
      <c r="B12" s="54">
        <f>B3/B11</f>
        <v>63.562499999999986</v>
      </c>
    </row>
    <row r="14" spans="1:4" ht="15">
      <c r="A14" s="3" t="s">
        <v>410</v>
      </c>
    </row>
    <row r="16" spans="1:4">
      <c r="B16" s="37" t="s">
        <v>180</v>
      </c>
      <c r="C16" s="37" t="s">
        <v>181</v>
      </c>
      <c r="D16" s="37" t="s">
        <v>122</v>
      </c>
    </row>
    <row r="17" spans="1:4">
      <c r="A17" s="4" t="s">
        <v>182</v>
      </c>
      <c r="B17" s="57">
        <v>9.5</v>
      </c>
      <c r="C17" s="57">
        <f>B17/1.13</f>
        <v>8.4070796460176993</v>
      </c>
      <c r="D17" s="32">
        <f t="shared" ref="D17:D18" si="0">C17/$C$17</f>
        <v>1</v>
      </c>
    </row>
    <row r="18" spans="1:4">
      <c r="A18" s="4" t="s">
        <v>183</v>
      </c>
      <c r="B18" s="57">
        <v>3.5</v>
      </c>
      <c r="C18" s="57">
        <f>B18/1.13</f>
        <v>3.0973451327433632</v>
      </c>
      <c r="D18" s="32">
        <f t="shared" si="0"/>
        <v>0.36842105263157898</v>
      </c>
    </row>
    <row r="19" spans="1:4" s="3" customFormat="1" ht="15">
      <c r="A19" s="3" t="s">
        <v>184</v>
      </c>
      <c r="C19" s="54">
        <f>C17-C18</f>
        <v>5.3097345132743357</v>
      </c>
      <c r="D19" s="36">
        <f>C19/$C$17</f>
        <v>0.63157894736842102</v>
      </c>
    </row>
    <row r="21" spans="1:4" ht="15">
      <c r="A21" s="3" t="s">
        <v>185</v>
      </c>
      <c r="B21" s="3">
        <f>SUM(B22:B25)</f>
        <v>44900</v>
      </c>
    </row>
    <row r="22" spans="1:4">
      <c r="A22" s="4" t="s">
        <v>116</v>
      </c>
      <c r="B22" s="4">
        <f>8*(2200*1.5)</f>
        <v>26400</v>
      </c>
    </row>
    <row r="23" spans="1:4">
      <c r="A23" s="4" t="s">
        <v>186</v>
      </c>
      <c r="B23" s="4">
        <v>5000</v>
      </c>
    </row>
    <row r="24" spans="1:4">
      <c r="A24" s="4" t="s">
        <v>187</v>
      </c>
      <c r="B24" s="4">
        <v>9000</v>
      </c>
    </row>
    <row r="25" spans="1:4" s="3" customFormat="1" ht="15">
      <c r="A25" s="3" t="s">
        <v>188</v>
      </c>
      <c r="B25" s="3">
        <v>4500</v>
      </c>
    </row>
    <row r="26" spans="1:4" s="3" customFormat="1" ht="15"/>
    <row r="27" spans="1:4">
      <c r="A27" s="4" t="s">
        <v>6</v>
      </c>
    </row>
    <row r="28" spans="1:4" ht="15">
      <c r="A28" s="4" t="s">
        <v>190</v>
      </c>
      <c r="C28" s="30">
        <f>B21/C19</f>
        <v>8456.1666666666679</v>
      </c>
    </row>
    <row r="29" spans="1:4" ht="15">
      <c r="A29" s="4" t="s">
        <v>191</v>
      </c>
      <c r="C29" s="30">
        <f>C28*B17</f>
        <v>80333.583333333343</v>
      </c>
    </row>
    <row r="30" spans="1:4" ht="15">
      <c r="A30" s="4" t="s">
        <v>189</v>
      </c>
      <c r="C30" s="30">
        <f>C28/21</f>
        <v>402.67460317460325</v>
      </c>
    </row>
    <row r="31" spans="1:4" ht="15">
      <c r="B31" s="3"/>
    </row>
    <row r="32" spans="1:4" ht="15">
      <c r="A32" s="4" t="s">
        <v>8</v>
      </c>
      <c r="B32" s="3" t="s">
        <v>160</v>
      </c>
    </row>
    <row r="34" spans="1:3">
      <c r="A34" s="4" t="s">
        <v>1</v>
      </c>
      <c r="B34" s="8">
        <f>B35*1.13</f>
        <v>80333.583333333328</v>
      </c>
      <c r="C34" s="32">
        <f t="shared" ref="C34:C36" si="1">B34/$B$35</f>
        <v>1.1299999999999999</v>
      </c>
    </row>
    <row r="35" spans="1:3" s="3" customFormat="1" ht="15">
      <c r="A35" s="3" t="s">
        <v>2</v>
      </c>
      <c r="B35" s="30">
        <f>B37/C37</f>
        <v>71091.666666666672</v>
      </c>
      <c r="C35" s="36">
        <f t="shared" si="1"/>
        <v>1</v>
      </c>
    </row>
    <row r="36" spans="1:3">
      <c r="A36" s="4" t="s">
        <v>68</v>
      </c>
      <c r="B36" s="8">
        <f>C28*C18</f>
        <v>26191.666666666675</v>
      </c>
      <c r="C36" s="32">
        <f t="shared" si="1"/>
        <v>0.36842105263157904</v>
      </c>
    </row>
    <row r="37" spans="1:3" s="3" customFormat="1" ht="15">
      <c r="A37" s="3" t="s">
        <v>185</v>
      </c>
      <c r="B37" s="3">
        <f t="shared" ref="B37:B40" si="2">B21</f>
        <v>44900</v>
      </c>
      <c r="C37" s="31">
        <f>D19</f>
        <v>0.63157894736842102</v>
      </c>
    </row>
    <row r="38" spans="1:3">
      <c r="A38" s="4" t="s">
        <v>116</v>
      </c>
      <c r="B38" s="4">
        <f t="shared" si="2"/>
        <v>26400</v>
      </c>
      <c r="C38" s="32">
        <f t="shared" ref="C38:C40" si="3">B38/$B$35</f>
        <v>0.37135154143711169</v>
      </c>
    </row>
    <row r="39" spans="1:3">
      <c r="A39" s="4" t="s">
        <v>186</v>
      </c>
      <c r="B39" s="4">
        <f t="shared" si="2"/>
        <v>5000</v>
      </c>
      <c r="C39" s="32">
        <f t="shared" si="3"/>
        <v>7.0331731332786307E-2</v>
      </c>
    </row>
    <row r="40" spans="1:3">
      <c r="A40" s="4" t="s">
        <v>187</v>
      </c>
      <c r="B40" s="4">
        <f t="shared" si="2"/>
        <v>9000</v>
      </c>
      <c r="C40" s="32">
        <f t="shared" si="3"/>
        <v>0.12659711639901536</v>
      </c>
    </row>
    <row r="41" spans="1:3" s="3" customFormat="1" ht="15">
      <c r="A41" s="3" t="s">
        <v>188</v>
      </c>
      <c r="B41" s="3">
        <f>B25</f>
        <v>4500</v>
      </c>
      <c r="C41" s="36">
        <f>B41/$B$35</f>
        <v>6.3298558199507679E-2</v>
      </c>
    </row>
    <row r="43" spans="1:3">
      <c r="A43" s="4" t="s">
        <v>192</v>
      </c>
      <c r="B43" s="4">
        <f>8*159</f>
        <v>1272</v>
      </c>
    </row>
    <row r="44" spans="1:3" s="3" customFormat="1" ht="15">
      <c r="A44" s="3" t="s">
        <v>193</v>
      </c>
      <c r="B44" s="54">
        <f>B34/B43</f>
        <v>63.155332809224312</v>
      </c>
    </row>
    <row r="46" spans="1:3" ht="15">
      <c r="A46" s="3" t="s">
        <v>411</v>
      </c>
    </row>
    <row r="48" spans="1:3" ht="15">
      <c r="A48" s="3" t="s">
        <v>6</v>
      </c>
      <c r="C48" s="37" t="s">
        <v>122</v>
      </c>
    </row>
    <row r="49" spans="1:3">
      <c r="A49" s="4" t="s">
        <v>412</v>
      </c>
      <c r="B49" s="4">
        <v>30000</v>
      </c>
      <c r="C49" s="32"/>
    </row>
    <row r="50" spans="1:3" ht="15">
      <c r="A50" s="3" t="s">
        <v>2</v>
      </c>
      <c r="B50" s="30">
        <f>(B49*70%)/1.13+(B49*30%)/1.23</f>
        <v>25901.143967191885</v>
      </c>
      <c r="C50" s="36">
        <v>1</v>
      </c>
    </row>
    <row r="51" spans="1:3">
      <c r="A51" s="4" t="s">
        <v>194</v>
      </c>
      <c r="B51" s="8">
        <f>C51*B50</f>
        <v>8547.3775091733205</v>
      </c>
      <c r="C51" s="32">
        <f>C50-C52</f>
        <v>0.32999999999999996</v>
      </c>
    </row>
    <row r="52" spans="1:3" ht="15">
      <c r="A52" s="3" t="s">
        <v>4</v>
      </c>
      <c r="B52" s="30">
        <f>C52*B50</f>
        <v>17353.766458018563</v>
      </c>
      <c r="C52" s="31">
        <v>0.67</v>
      </c>
    </row>
    <row r="53" spans="1:3">
      <c r="A53" s="4" t="s">
        <v>116</v>
      </c>
      <c r="B53" s="8">
        <f>C53*B50</f>
        <v>7770.343190157565</v>
      </c>
      <c r="C53" s="5">
        <v>0.3</v>
      </c>
    </row>
    <row r="54" spans="1:3" ht="15">
      <c r="A54" s="3" t="s">
        <v>70</v>
      </c>
      <c r="B54" s="30">
        <f>B52-B53</f>
        <v>9583.4232678609987</v>
      </c>
      <c r="C54" s="36">
        <f>B54/B50</f>
        <v>0.37000000000000005</v>
      </c>
    </row>
    <row r="56" spans="1:3" ht="15">
      <c r="A56" s="4" t="s">
        <v>195</v>
      </c>
      <c r="B56" s="3">
        <f>14*1.48</f>
        <v>20.72</v>
      </c>
    </row>
    <row r="57" spans="1:3" ht="15">
      <c r="A57" s="4" t="s">
        <v>178</v>
      </c>
      <c r="B57" s="30">
        <f>B53/B56</f>
        <v>375.01656323154276</v>
      </c>
    </row>
    <row r="58" spans="1:3" ht="15">
      <c r="A58" s="4" t="s">
        <v>179</v>
      </c>
      <c r="B58" s="54">
        <f>B49/B57</f>
        <v>79.996466666666663</v>
      </c>
    </row>
    <row r="59" spans="1:3" ht="15">
      <c r="A59" s="4" t="s">
        <v>196</v>
      </c>
      <c r="B59" s="30">
        <f>6*37.5</f>
        <v>225</v>
      </c>
    </row>
    <row r="60" spans="1:3" ht="15">
      <c r="A60" s="4" t="s">
        <v>197</v>
      </c>
      <c r="B60" s="49">
        <f>B57-B59</f>
        <v>150.01656323154276</v>
      </c>
    </row>
    <row r="62" spans="1:3" ht="15">
      <c r="A62" s="3" t="s">
        <v>8</v>
      </c>
    </row>
    <row r="63" spans="1:3" ht="15">
      <c r="A63" s="4" t="s">
        <v>198</v>
      </c>
      <c r="B63" s="54">
        <f>B58+8</f>
        <v>87.996466666666663</v>
      </c>
    </row>
    <row r="64" spans="1:3" ht="15">
      <c r="A64" s="4" t="s">
        <v>178</v>
      </c>
      <c r="B64" s="30">
        <f>B49/B63</f>
        <v>340.9227794752365</v>
      </c>
    </row>
    <row r="65" spans="1:8" ht="15">
      <c r="A65" s="4" t="s">
        <v>116</v>
      </c>
      <c r="B65" s="30">
        <f>B64*B56</f>
        <v>7063.9199907268994</v>
      </c>
    </row>
    <row r="66" spans="1:8" ht="15">
      <c r="A66" s="4" t="s">
        <v>199</v>
      </c>
      <c r="B66" s="30">
        <f>B53-B65</f>
        <v>706.42319943066559</v>
      </c>
    </row>
    <row r="67" spans="1:8" ht="15">
      <c r="A67" s="4" t="s">
        <v>200</v>
      </c>
      <c r="B67" s="36">
        <f>B66/B53</f>
        <v>9.0912741193396499E-2</v>
      </c>
    </row>
    <row r="68" spans="1:8" ht="15">
      <c r="A68" s="4" t="s">
        <v>201</v>
      </c>
      <c r="B68" s="36">
        <f>C76-C54</f>
        <v>2.7273822358018895E-2</v>
      </c>
    </row>
    <row r="69" spans="1:8" ht="15">
      <c r="B69" s="36"/>
    </row>
    <row r="70" spans="1:8">
      <c r="C70" s="37" t="s">
        <v>122</v>
      </c>
    </row>
    <row r="71" spans="1:8">
      <c r="A71" s="4" t="s">
        <v>1</v>
      </c>
      <c r="B71" s="8">
        <f>B49</f>
        <v>30000</v>
      </c>
      <c r="C71" s="32"/>
    </row>
    <row r="72" spans="1:8" ht="15">
      <c r="A72" s="3" t="s">
        <v>2</v>
      </c>
      <c r="B72" s="30">
        <f t="shared" ref="B72:B74" si="4">B50</f>
        <v>25901.143967191885</v>
      </c>
      <c r="C72" s="36">
        <f t="shared" ref="C72:C75" si="5">B72/$B$72</f>
        <v>1</v>
      </c>
    </row>
    <row r="73" spans="1:8" ht="15">
      <c r="A73" s="4" t="s">
        <v>194</v>
      </c>
      <c r="B73" s="8">
        <f t="shared" si="4"/>
        <v>8547.3775091733205</v>
      </c>
      <c r="C73" s="36">
        <f t="shared" si="5"/>
        <v>0.32999999999999996</v>
      </c>
    </row>
    <row r="74" spans="1:8" ht="15">
      <c r="A74" s="3" t="s">
        <v>4</v>
      </c>
      <c r="B74" s="30">
        <f t="shared" si="4"/>
        <v>17353.766458018563</v>
      </c>
      <c r="C74" s="36">
        <f t="shared" si="5"/>
        <v>0.67</v>
      </c>
    </row>
    <row r="75" spans="1:8" ht="15">
      <c r="A75" s="4" t="s">
        <v>116</v>
      </c>
      <c r="B75" s="64">
        <f>B65</f>
        <v>7063.9199907268994</v>
      </c>
      <c r="C75" s="36">
        <f t="shared" si="5"/>
        <v>0.27272617764198104</v>
      </c>
    </row>
    <row r="76" spans="1:8" ht="15">
      <c r="A76" s="3" t="s">
        <v>70</v>
      </c>
      <c r="B76" s="30">
        <f>B74-B75</f>
        <v>10289.846467291663</v>
      </c>
      <c r="C76" s="36">
        <f>B76/$B$72</f>
        <v>0.39727382235801895</v>
      </c>
    </row>
    <row r="78" spans="1:8" ht="15">
      <c r="A78" s="3" t="s">
        <v>413</v>
      </c>
    </row>
    <row r="79" spans="1:8" ht="15">
      <c r="B79" s="3"/>
      <c r="C79" s="3"/>
      <c r="D79" s="3"/>
      <c r="E79" s="3"/>
      <c r="F79" s="3"/>
      <c r="G79" s="7"/>
      <c r="H79" s="7" t="s">
        <v>202</v>
      </c>
    </row>
    <row r="80" spans="1:8" ht="15">
      <c r="B80" s="7" t="s">
        <v>203</v>
      </c>
      <c r="C80" s="7" t="s">
        <v>204</v>
      </c>
      <c r="D80" s="7" t="s">
        <v>205</v>
      </c>
      <c r="E80" s="7" t="s">
        <v>1</v>
      </c>
      <c r="F80" s="7" t="s">
        <v>29</v>
      </c>
      <c r="G80" s="7" t="s">
        <v>206</v>
      </c>
      <c r="H80" s="7" t="s">
        <v>207</v>
      </c>
    </row>
    <row r="81" spans="1:8">
      <c r="A81" s="4" t="s">
        <v>208</v>
      </c>
      <c r="B81" s="4">
        <v>180</v>
      </c>
      <c r="C81" s="4">
        <v>15</v>
      </c>
      <c r="D81" s="6">
        <v>0.09</v>
      </c>
      <c r="E81" s="4">
        <f t="shared" ref="E81:E86" si="6">$E$88*D81</f>
        <v>3240</v>
      </c>
      <c r="F81" s="8">
        <f t="shared" ref="F81:F86" si="7">D81*$F$88</f>
        <v>2774.0125188862512</v>
      </c>
      <c r="G81" s="8">
        <f t="shared" ref="G81:G88" si="8">0.68*F81</f>
        <v>1886.328512842651</v>
      </c>
      <c r="H81" s="8">
        <f t="shared" ref="H81:H88" si="9">0.28*F81</f>
        <v>776.72350528815036</v>
      </c>
    </row>
    <row r="82" spans="1:8">
      <c r="A82" s="4" t="s">
        <v>209</v>
      </c>
      <c r="B82" s="4">
        <v>180</v>
      </c>
      <c r="C82" s="4">
        <v>15</v>
      </c>
      <c r="D82" s="6">
        <v>0.09</v>
      </c>
      <c r="E82" s="4">
        <f t="shared" si="6"/>
        <v>3240</v>
      </c>
      <c r="F82" s="8">
        <f t="shared" si="7"/>
        <v>2774.0125188862512</v>
      </c>
      <c r="G82" s="8">
        <f t="shared" si="8"/>
        <v>1886.328512842651</v>
      </c>
      <c r="H82" s="8">
        <f t="shared" si="9"/>
        <v>776.72350528815036</v>
      </c>
    </row>
    <row r="83" spans="1:8">
      <c r="A83" s="4" t="s">
        <v>210</v>
      </c>
      <c r="B83" s="4">
        <v>180</v>
      </c>
      <c r="C83" s="4">
        <v>15</v>
      </c>
      <c r="D83" s="6">
        <v>0.13</v>
      </c>
      <c r="E83" s="4">
        <f t="shared" si="6"/>
        <v>4680</v>
      </c>
      <c r="F83" s="8">
        <f t="shared" si="7"/>
        <v>4006.9069717245852</v>
      </c>
      <c r="G83" s="8">
        <f t="shared" si="8"/>
        <v>2724.6967407727179</v>
      </c>
      <c r="H83" s="8">
        <f t="shared" si="9"/>
        <v>1121.9339520828839</v>
      </c>
    </row>
    <row r="84" spans="1:8">
      <c r="A84" s="4" t="s">
        <v>211</v>
      </c>
      <c r="B84" s="4">
        <v>180</v>
      </c>
      <c r="C84" s="4">
        <v>15</v>
      </c>
      <c r="D84" s="6">
        <v>0.09</v>
      </c>
      <c r="E84" s="4">
        <f t="shared" si="6"/>
        <v>3240</v>
      </c>
      <c r="F84" s="8">
        <f t="shared" si="7"/>
        <v>2774.0125188862512</v>
      </c>
      <c r="G84" s="8">
        <f t="shared" si="8"/>
        <v>1886.328512842651</v>
      </c>
      <c r="H84" s="8">
        <f t="shared" si="9"/>
        <v>776.72350528815036</v>
      </c>
    </row>
    <row r="85" spans="1:8">
      <c r="A85" s="4" t="s">
        <v>212</v>
      </c>
      <c r="B85" s="4">
        <v>180</v>
      </c>
      <c r="C85" s="4">
        <v>16</v>
      </c>
      <c r="D85" s="6">
        <v>0.2</v>
      </c>
      <c r="E85" s="4">
        <f t="shared" si="6"/>
        <v>7200</v>
      </c>
      <c r="F85" s="8">
        <f t="shared" si="7"/>
        <v>6164.4722641916696</v>
      </c>
      <c r="G85" s="8">
        <f t="shared" si="8"/>
        <v>4191.8411396503352</v>
      </c>
      <c r="H85" s="8">
        <f t="shared" si="9"/>
        <v>1726.0522339736676</v>
      </c>
    </row>
    <row r="86" spans="1:8">
      <c r="A86" s="4" t="s">
        <v>213</v>
      </c>
      <c r="B86" s="4">
        <v>180</v>
      </c>
      <c r="C86" s="4">
        <v>16</v>
      </c>
      <c r="D86" s="6">
        <v>0.35</v>
      </c>
      <c r="E86" s="4">
        <f t="shared" si="6"/>
        <v>12600</v>
      </c>
      <c r="F86" s="8">
        <f t="shared" si="7"/>
        <v>10787.826462335421</v>
      </c>
      <c r="G86" s="8">
        <f t="shared" si="8"/>
        <v>7335.7219943880864</v>
      </c>
      <c r="H86" s="8">
        <f t="shared" si="9"/>
        <v>3020.591409453918</v>
      </c>
    </row>
    <row r="87" spans="1:8">
      <c r="A87" s="4" t="s">
        <v>214</v>
      </c>
      <c r="B87" s="4">
        <v>180</v>
      </c>
      <c r="C87" s="4">
        <v>15</v>
      </c>
      <c r="D87" s="6">
        <v>0.05</v>
      </c>
      <c r="E87" s="4">
        <f>$E$88*D87</f>
        <v>1800</v>
      </c>
      <c r="F87" s="8">
        <f>D87*$F$88</f>
        <v>1541.1180660479174</v>
      </c>
      <c r="G87" s="8">
        <f t="shared" si="8"/>
        <v>1047.9602849125838</v>
      </c>
      <c r="H87" s="8">
        <f t="shared" si="9"/>
        <v>431.51305849341691</v>
      </c>
    </row>
    <row r="88" spans="1:8" s="3" customFormat="1" ht="15">
      <c r="A88" s="3" t="s">
        <v>7</v>
      </c>
      <c r="B88" s="3">
        <v>180</v>
      </c>
      <c r="C88" s="3">
        <f>SUM(C81:C87)</f>
        <v>107</v>
      </c>
      <c r="D88" s="33">
        <f>SUM(D81:D87)</f>
        <v>1</v>
      </c>
      <c r="E88" s="3">
        <v>36000</v>
      </c>
      <c r="F88" s="30">
        <f>(60%*E88)/1.13+(40%*E88)/1.23</f>
        <v>30822.361320958345</v>
      </c>
      <c r="G88" s="30">
        <f t="shared" si="8"/>
        <v>20959.205698251677</v>
      </c>
      <c r="H88" s="30">
        <f t="shared" si="9"/>
        <v>8630.2611698683377</v>
      </c>
    </row>
    <row r="90" spans="1:8" ht="15">
      <c r="A90" s="3" t="s">
        <v>6</v>
      </c>
    </row>
    <row r="91" spans="1:8">
      <c r="A91" s="4" t="s">
        <v>160</v>
      </c>
    </row>
    <row r="92" spans="1:8">
      <c r="A92" s="4" t="s">
        <v>1</v>
      </c>
      <c r="B92" s="8">
        <f>E88</f>
        <v>36000</v>
      </c>
    </row>
    <row r="93" spans="1:8">
      <c r="A93" s="4" t="s">
        <v>29</v>
      </c>
      <c r="B93" s="8">
        <f>F88</f>
        <v>30822.361320958345</v>
      </c>
      <c r="C93" s="5">
        <v>1</v>
      </c>
    </row>
    <row r="94" spans="1:8">
      <c r="A94" s="4" t="s">
        <v>3</v>
      </c>
      <c r="B94" s="64">
        <f>C94*B93</f>
        <v>9863.1556227066703</v>
      </c>
      <c r="C94" s="5">
        <v>0.32</v>
      </c>
    </row>
    <row r="95" spans="1:8" s="3" customFormat="1" ht="15">
      <c r="A95" s="3" t="s">
        <v>4</v>
      </c>
      <c r="B95" s="30">
        <f>C95*B93</f>
        <v>20959.205698251677</v>
      </c>
      <c r="C95" s="31">
        <v>0.68</v>
      </c>
    </row>
    <row r="96" spans="1:8">
      <c r="A96" s="4" t="s">
        <v>116</v>
      </c>
      <c r="B96" s="64">
        <f>C96*B93</f>
        <v>8630.2611698683377</v>
      </c>
      <c r="C96" s="5">
        <v>0.28000000000000003</v>
      </c>
    </row>
    <row r="97" spans="1:4" s="3" customFormat="1" ht="15">
      <c r="A97" s="3" t="s">
        <v>70</v>
      </c>
      <c r="B97" s="30">
        <f>B95-B96</f>
        <v>12328.944528383339</v>
      </c>
      <c r="C97" s="36">
        <f>B97/B93</f>
        <v>0.4</v>
      </c>
    </row>
    <row r="99" spans="1:4">
      <c r="A99" s="4" t="s">
        <v>215</v>
      </c>
      <c r="B99" s="4">
        <f>12*1.52</f>
        <v>18.240000000000002</v>
      </c>
    </row>
    <row r="100" spans="1:4" ht="15">
      <c r="A100" s="3" t="s">
        <v>216</v>
      </c>
      <c r="B100" s="30">
        <f>B96/B99</f>
        <v>473.15028343576409</v>
      </c>
      <c r="C100" s="3" t="s">
        <v>217</v>
      </c>
    </row>
    <row r="101" spans="1:4" ht="15">
      <c r="A101" s="3"/>
      <c r="B101" s="49"/>
      <c r="C101" s="3"/>
    </row>
    <row r="102" spans="1:4" ht="15">
      <c r="A102" s="3" t="s">
        <v>8</v>
      </c>
    </row>
    <row r="103" spans="1:4" ht="15">
      <c r="A103" s="3" t="s">
        <v>218</v>
      </c>
      <c r="B103" s="54">
        <f>B92/B100</f>
        <v>76.085762304921957</v>
      </c>
      <c r="C103" s="3" t="s">
        <v>219</v>
      </c>
    </row>
    <row r="105" spans="1:4" ht="15">
      <c r="A105" s="3" t="s">
        <v>220</v>
      </c>
    </row>
    <row r="106" spans="1:4" ht="15">
      <c r="A106" s="3" t="s">
        <v>221</v>
      </c>
      <c r="B106" s="3"/>
      <c r="C106" s="3">
        <f>5*37.5</f>
        <v>187.5</v>
      </c>
      <c r="D106" s="3" t="s">
        <v>217</v>
      </c>
    </row>
    <row r="107" spans="1:4" ht="15">
      <c r="A107" s="3" t="s">
        <v>222</v>
      </c>
      <c r="B107" s="3"/>
      <c r="C107" s="49">
        <f>B100-C106</f>
        <v>285.65028343576409</v>
      </c>
      <c r="D107" s="3" t="s">
        <v>217</v>
      </c>
    </row>
    <row r="108" spans="1:4" ht="15">
      <c r="A108" s="3"/>
      <c r="B108" s="3"/>
      <c r="C108" s="49"/>
      <c r="D108" s="3"/>
    </row>
    <row r="109" spans="1:4" ht="15">
      <c r="A109" s="3" t="s">
        <v>223</v>
      </c>
      <c r="B109" s="7" t="s">
        <v>230</v>
      </c>
    </row>
    <row r="110" spans="1:4">
      <c r="A110" s="4" t="s">
        <v>208</v>
      </c>
      <c r="B110" s="8">
        <f t="shared" ref="B110:B117" si="10">E81/$B$103</f>
        <v>42.583525509218767</v>
      </c>
    </row>
    <row r="111" spans="1:4">
      <c r="A111" s="4" t="s">
        <v>209</v>
      </c>
      <c r="B111" s="8">
        <f t="shared" si="10"/>
        <v>42.583525509218767</v>
      </c>
    </row>
    <row r="112" spans="1:4">
      <c r="A112" s="4" t="s">
        <v>210</v>
      </c>
      <c r="B112" s="8">
        <f t="shared" si="10"/>
        <v>61.509536846649333</v>
      </c>
    </row>
    <row r="113" spans="1:4">
      <c r="A113" s="4" t="s">
        <v>211</v>
      </c>
      <c r="B113" s="8">
        <f t="shared" si="10"/>
        <v>42.583525509218767</v>
      </c>
    </row>
    <row r="114" spans="1:4">
      <c r="A114" s="4" t="s">
        <v>212</v>
      </c>
      <c r="B114" s="8">
        <f t="shared" si="10"/>
        <v>94.630056687152816</v>
      </c>
    </row>
    <row r="115" spans="1:4">
      <c r="A115" s="4" t="s">
        <v>213</v>
      </c>
      <c r="B115" s="8">
        <f t="shared" si="10"/>
        <v>165.60259920251744</v>
      </c>
    </row>
    <row r="116" spans="1:4">
      <c r="A116" s="4" t="s">
        <v>214</v>
      </c>
      <c r="B116" s="8">
        <f t="shared" si="10"/>
        <v>23.657514171788204</v>
      </c>
    </row>
    <row r="117" spans="1:4">
      <c r="A117" s="4" t="s">
        <v>7</v>
      </c>
      <c r="B117" s="8">
        <f t="shared" si="10"/>
        <v>473.15028343576409</v>
      </c>
    </row>
    <row r="119" spans="1:4" ht="15">
      <c r="A119" s="3" t="s">
        <v>229</v>
      </c>
    </row>
    <row r="120" spans="1:4">
      <c r="A120" s="4" t="s">
        <v>224</v>
      </c>
      <c r="C120" s="57">
        <f>B103+7</f>
        <v>83.085762304921957</v>
      </c>
      <c r="D120" s="4" t="s">
        <v>219</v>
      </c>
    </row>
    <row r="121" spans="1:4" ht="15">
      <c r="A121" s="4" t="s">
        <v>225</v>
      </c>
      <c r="C121" s="30">
        <f>B92/C120</f>
        <v>433.28723238863972</v>
      </c>
      <c r="D121" s="4" t="s">
        <v>217</v>
      </c>
    </row>
    <row r="122" spans="1:4">
      <c r="A122" s="4" t="s">
        <v>221</v>
      </c>
      <c r="C122" s="8">
        <f>C106</f>
        <v>187.5</v>
      </c>
      <c r="D122" s="4" t="s">
        <v>217</v>
      </c>
    </row>
    <row r="123" spans="1:4">
      <c r="A123" s="4" t="s">
        <v>226</v>
      </c>
      <c r="C123" s="8">
        <f>C121-C122</f>
        <v>245.78723238863972</v>
      </c>
      <c r="D123" s="4" t="s">
        <v>217</v>
      </c>
    </row>
    <row r="124" spans="1:4">
      <c r="A124" s="4" t="s">
        <v>227</v>
      </c>
      <c r="C124" s="57">
        <f>B99</f>
        <v>18.240000000000002</v>
      </c>
      <c r="D124" s="4" t="s">
        <v>219</v>
      </c>
    </row>
    <row r="126" spans="1:4">
      <c r="A126" s="4" t="s">
        <v>160</v>
      </c>
    </row>
    <row r="127" spans="1:4">
      <c r="A127" s="4" t="s">
        <v>1</v>
      </c>
      <c r="B127" s="8">
        <v>36000</v>
      </c>
    </row>
    <row r="128" spans="1:4" s="3" customFormat="1" ht="15">
      <c r="A128" s="3" t="s">
        <v>29</v>
      </c>
      <c r="B128" s="30">
        <f>B93</f>
        <v>30822.361320958345</v>
      </c>
      <c r="C128" s="31">
        <v>1</v>
      </c>
    </row>
    <row r="129" spans="1:10">
      <c r="A129" s="4" t="s">
        <v>3</v>
      </c>
      <c r="B129" s="64">
        <f>$B$128*C129</f>
        <v>9863.1556227066703</v>
      </c>
      <c r="C129" s="5">
        <v>0.32</v>
      </c>
    </row>
    <row r="130" spans="1:10" s="3" customFormat="1" ht="15">
      <c r="A130" s="3" t="s">
        <v>4</v>
      </c>
      <c r="B130" s="30">
        <f>$B$128*C130</f>
        <v>20959.205698251677</v>
      </c>
      <c r="C130" s="31">
        <v>0.68</v>
      </c>
    </row>
    <row r="131" spans="1:10">
      <c r="A131" s="4" t="s">
        <v>116</v>
      </c>
      <c r="B131" s="64">
        <f>C121*C124</f>
        <v>7903.1591187687891</v>
      </c>
      <c r="C131" s="32">
        <f>B131/B128</f>
        <v>0.25640991734772967</v>
      </c>
    </row>
    <row r="132" spans="1:10" s="3" customFormat="1" ht="15">
      <c r="A132" s="3" t="s">
        <v>70</v>
      </c>
      <c r="B132" s="30">
        <f>B130-B131</f>
        <v>13056.046579482889</v>
      </c>
      <c r="C132" s="36">
        <f>B132/B128</f>
        <v>0.42359008265227044</v>
      </c>
    </row>
    <row r="134" spans="1:10" ht="15">
      <c r="A134" s="3" t="s">
        <v>228</v>
      </c>
      <c r="B134" s="3"/>
      <c r="C134" s="30">
        <f>B132-B97</f>
        <v>727.1020510995495</v>
      </c>
      <c r="D134" s="3" t="s">
        <v>28</v>
      </c>
    </row>
    <row r="136" spans="1:10" ht="15">
      <c r="A136" s="3" t="s">
        <v>414</v>
      </c>
    </row>
    <row r="138" spans="1:10" ht="15">
      <c r="A138" s="3" t="s">
        <v>246</v>
      </c>
    </row>
    <row r="139" spans="1:10" ht="15">
      <c r="A139" s="23"/>
      <c r="B139" s="65" t="s">
        <v>231</v>
      </c>
      <c r="C139" s="65" t="s">
        <v>232</v>
      </c>
      <c r="D139" s="65" t="s">
        <v>1</v>
      </c>
      <c r="E139" s="66" t="s">
        <v>29</v>
      </c>
      <c r="F139" s="65" t="s">
        <v>233</v>
      </c>
      <c r="G139" s="65" t="s">
        <v>234</v>
      </c>
      <c r="H139" s="66" t="s">
        <v>202</v>
      </c>
      <c r="I139" s="65" t="s">
        <v>192</v>
      </c>
      <c r="J139" s="65" t="s">
        <v>235</v>
      </c>
    </row>
    <row r="140" spans="1:10" ht="15">
      <c r="A140" s="23"/>
      <c r="B140" s="65"/>
      <c r="C140" s="65" t="s">
        <v>236</v>
      </c>
      <c r="D140" s="65"/>
      <c r="E140" s="27"/>
      <c r="F140" s="67">
        <v>230</v>
      </c>
      <c r="G140" s="65"/>
      <c r="H140" s="65" t="s">
        <v>237</v>
      </c>
      <c r="I140" s="65"/>
      <c r="J140" s="65" t="s">
        <v>28</v>
      </c>
    </row>
    <row r="141" spans="1:10">
      <c r="A141" s="23" t="s">
        <v>238</v>
      </c>
      <c r="B141" s="68">
        <v>400</v>
      </c>
      <c r="C141" s="68">
        <v>19</v>
      </c>
      <c r="D141" s="23">
        <f>B141*C141</f>
        <v>7600</v>
      </c>
      <c r="E141" s="22">
        <f>((70%*D141)/1.13)+((30%*D141)/1.23)</f>
        <v>6561.6231383552777</v>
      </c>
      <c r="F141" s="69">
        <f>D141/$F$140</f>
        <v>33.043478260869563</v>
      </c>
      <c r="G141" s="69">
        <f>B141/$F$140</f>
        <v>1.7391304347826086</v>
      </c>
      <c r="H141" s="22">
        <f>30%*E141</f>
        <v>1968.4869415065832</v>
      </c>
      <c r="I141" s="70">
        <f>H141/20</f>
        <v>98.424347075329166</v>
      </c>
      <c r="J141" s="69">
        <f t="shared" ref="J141:J148" si="11">D141/I141</f>
        <v>77.216666666666669</v>
      </c>
    </row>
    <row r="142" spans="1:10">
      <c r="A142" s="23" t="s">
        <v>239</v>
      </c>
      <c r="B142" s="68">
        <v>425</v>
      </c>
      <c r="C142" s="68">
        <v>19.5</v>
      </c>
      <c r="D142" s="22">
        <f t="shared" ref="D142:D147" si="12">B142*C142</f>
        <v>8287.5</v>
      </c>
      <c r="E142" s="22">
        <f t="shared" ref="E142:E147" si="13">((70%*D142)/1.13)+((30%*D142)/1.23)</f>
        <v>7155.1910209367579</v>
      </c>
      <c r="F142" s="69">
        <f t="shared" ref="F142:F147" si="14">D142/$F$140</f>
        <v>36.032608695652172</v>
      </c>
      <c r="G142" s="69">
        <f t="shared" ref="G142:G147" si="15">B142/$F$140</f>
        <v>1.8478260869565217</v>
      </c>
      <c r="H142" s="22">
        <f t="shared" ref="H142:H147" si="16">30%*E142</f>
        <v>2146.5573062810272</v>
      </c>
      <c r="I142" s="70">
        <f t="shared" ref="I142:I147" si="17">H142/20</f>
        <v>107.32786531405137</v>
      </c>
      <c r="J142" s="69">
        <f t="shared" si="11"/>
        <v>77.216666666666669</v>
      </c>
    </row>
    <row r="143" spans="1:10">
      <c r="A143" s="23" t="s">
        <v>240</v>
      </c>
      <c r="B143" s="68">
        <v>650</v>
      </c>
      <c r="C143" s="68">
        <v>22</v>
      </c>
      <c r="D143" s="23">
        <f t="shared" si="12"/>
        <v>14300</v>
      </c>
      <c r="E143" s="22">
        <f t="shared" si="13"/>
        <v>12346.211957694799</v>
      </c>
      <c r="F143" s="69">
        <f t="shared" si="14"/>
        <v>62.173913043478258</v>
      </c>
      <c r="G143" s="69">
        <f t="shared" si="15"/>
        <v>2.8260869565217392</v>
      </c>
      <c r="H143" s="22">
        <f t="shared" si="16"/>
        <v>3703.8635873084395</v>
      </c>
      <c r="I143" s="70">
        <f t="shared" si="17"/>
        <v>185.19317936542197</v>
      </c>
      <c r="J143" s="69">
        <f t="shared" si="11"/>
        <v>77.216666666666669</v>
      </c>
    </row>
    <row r="144" spans="1:10">
      <c r="A144" s="23" t="s">
        <v>241</v>
      </c>
      <c r="B144" s="68">
        <v>500</v>
      </c>
      <c r="C144" s="68">
        <v>20</v>
      </c>
      <c r="D144" s="23">
        <f t="shared" si="12"/>
        <v>10000</v>
      </c>
      <c r="E144" s="22">
        <f t="shared" si="13"/>
        <v>8633.7146557306296</v>
      </c>
      <c r="F144" s="69">
        <f t="shared" si="14"/>
        <v>43.478260869565219</v>
      </c>
      <c r="G144" s="69">
        <f t="shared" si="15"/>
        <v>2.1739130434782608</v>
      </c>
      <c r="H144" s="22">
        <f t="shared" si="16"/>
        <v>2590.1143967191888</v>
      </c>
      <c r="I144" s="70">
        <f t="shared" si="17"/>
        <v>129.50571983595944</v>
      </c>
      <c r="J144" s="69">
        <f t="shared" si="11"/>
        <v>77.216666666666654</v>
      </c>
    </row>
    <row r="145" spans="1:10">
      <c r="A145" s="23" t="s">
        <v>242</v>
      </c>
      <c r="B145" s="68">
        <v>800</v>
      </c>
      <c r="C145" s="68">
        <v>25</v>
      </c>
      <c r="D145" s="23">
        <f t="shared" si="12"/>
        <v>20000</v>
      </c>
      <c r="E145" s="22">
        <f t="shared" si="13"/>
        <v>17267.429311461259</v>
      </c>
      <c r="F145" s="69">
        <f t="shared" si="14"/>
        <v>86.956521739130437</v>
      </c>
      <c r="G145" s="69">
        <f t="shared" si="15"/>
        <v>3.4782608695652173</v>
      </c>
      <c r="H145" s="22">
        <f t="shared" si="16"/>
        <v>5180.2287934383776</v>
      </c>
      <c r="I145" s="70">
        <f t="shared" si="17"/>
        <v>259.01143967191888</v>
      </c>
      <c r="J145" s="69">
        <f t="shared" si="11"/>
        <v>77.216666666666654</v>
      </c>
    </row>
    <row r="146" spans="1:10">
      <c r="A146" s="23" t="s">
        <v>243</v>
      </c>
      <c r="B146" s="68">
        <v>950</v>
      </c>
      <c r="C146" s="68">
        <v>29.5</v>
      </c>
      <c r="D146" s="23">
        <f t="shared" si="12"/>
        <v>28025</v>
      </c>
      <c r="E146" s="22">
        <f t="shared" si="13"/>
        <v>24195.985322685086</v>
      </c>
      <c r="F146" s="69">
        <f t="shared" si="14"/>
        <v>121.84782608695652</v>
      </c>
      <c r="G146" s="69">
        <f t="shared" si="15"/>
        <v>4.1304347826086953</v>
      </c>
      <c r="H146" s="22">
        <f t="shared" si="16"/>
        <v>7258.7955968055257</v>
      </c>
      <c r="I146" s="70">
        <f t="shared" si="17"/>
        <v>362.93977984027629</v>
      </c>
      <c r="J146" s="69">
        <f t="shared" si="11"/>
        <v>77.216666666666669</v>
      </c>
    </row>
    <row r="147" spans="1:10">
      <c r="A147" s="23" t="s">
        <v>244</v>
      </c>
      <c r="B147" s="68">
        <v>300</v>
      </c>
      <c r="C147" s="68">
        <v>23.5</v>
      </c>
      <c r="D147" s="23">
        <f t="shared" si="12"/>
        <v>7050</v>
      </c>
      <c r="E147" s="22">
        <f t="shared" si="13"/>
        <v>6086.768832290094</v>
      </c>
      <c r="F147" s="69">
        <f t="shared" si="14"/>
        <v>30.652173913043477</v>
      </c>
      <c r="G147" s="69">
        <f t="shared" si="15"/>
        <v>1.3043478260869565</v>
      </c>
      <c r="H147" s="22">
        <f t="shared" si="16"/>
        <v>1826.0306496870282</v>
      </c>
      <c r="I147" s="70">
        <f t="shared" si="17"/>
        <v>91.301532484351412</v>
      </c>
      <c r="J147" s="69">
        <f t="shared" si="11"/>
        <v>77.216666666666654</v>
      </c>
    </row>
    <row r="148" spans="1:10" s="3" customFormat="1" ht="15">
      <c r="A148" s="27" t="s">
        <v>9</v>
      </c>
      <c r="B148" s="27">
        <f>SUM(B141:B147)</f>
        <v>4025</v>
      </c>
      <c r="C148" s="71">
        <f>D148/B148</f>
        <v>23.667701863354036</v>
      </c>
      <c r="D148" s="28">
        <f>SUM(D141:D147)</f>
        <v>95262.5</v>
      </c>
      <c r="E148" s="28">
        <f>SUM(E141:E147)</f>
        <v>82246.924239153901</v>
      </c>
      <c r="F148" s="71">
        <f>D148/(7*F140)</f>
        <v>59.169254658385093</v>
      </c>
      <c r="G148" s="71">
        <f>AVERAGE(G141:G147)</f>
        <v>2.4999999999999996</v>
      </c>
      <c r="H148" s="28">
        <f>SUM(H141:H147)</f>
        <v>24674.07727174617</v>
      </c>
      <c r="I148" s="28">
        <f>SUM(I141:I147)</f>
        <v>1233.7038635873084</v>
      </c>
      <c r="J148" s="72">
        <f t="shared" si="11"/>
        <v>77.216666666666669</v>
      </c>
    </row>
    <row r="149" spans="1:10" s="3" customFormat="1" ht="15">
      <c r="A149" s="73"/>
      <c r="B149" s="73"/>
      <c r="C149" s="74"/>
      <c r="D149" s="75"/>
      <c r="E149" s="75"/>
      <c r="F149" s="74"/>
      <c r="G149" s="74"/>
      <c r="H149" s="75"/>
      <c r="I149" s="75"/>
      <c r="J149" s="76"/>
    </row>
    <row r="150" spans="1:10" ht="15">
      <c r="A150" s="77" t="s">
        <v>245</v>
      </c>
      <c r="B150" s="65" t="s">
        <v>28</v>
      </c>
      <c r="C150" s="65" t="s">
        <v>122</v>
      </c>
      <c r="F150" s="73"/>
      <c r="G150" s="78"/>
      <c r="H150" s="78"/>
      <c r="I150" s="78"/>
      <c r="J150" s="78"/>
    </row>
    <row r="151" spans="1:10" ht="15">
      <c r="A151" s="79" t="s">
        <v>2</v>
      </c>
      <c r="B151" s="28">
        <f>E148</f>
        <v>82246.924239153901</v>
      </c>
      <c r="C151" s="80">
        <f>B151/B151</f>
        <v>1</v>
      </c>
      <c r="F151" s="73"/>
      <c r="G151" s="78"/>
      <c r="H151" s="75"/>
      <c r="I151" s="78"/>
      <c r="J151" s="78"/>
    </row>
    <row r="152" spans="1:10" ht="15">
      <c r="A152" s="77" t="s">
        <v>68</v>
      </c>
      <c r="B152" s="22">
        <f>B151*C152</f>
        <v>27963.954241312324</v>
      </c>
      <c r="C152" s="81">
        <f>100%-C153</f>
        <v>0.33999999999999997</v>
      </c>
      <c r="F152" s="73"/>
      <c r="G152" s="78"/>
      <c r="H152" s="82"/>
      <c r="I152" s="78"/>
      <c r="J152" s="78"/>
    </row>
    <row r="153" spans="1:10" ht="15">
      <c r="A153" s="79" t="s">
        <v>4</v>
      </c>
      <c r="B153" s="28">
        <f>$B$151*C153</f>
        <v>54282.969997841574</v>
      </c>
      <c r="C153" s="83">
        <v>0.66</v>
      </c>
      <c r="F153" s="73"/>
      <c r="G153" s="78"/>
      <c r="H153" s="82"/>
      <c r="I153" s="78"/>
      <c r="J153" s="78"/>
    </row>
    <row r="154" spans="1:10">
      <c r="A154" s="77" t="s">
        <v>116</v>
      </c>
      <c r="B154" s="22">
        <f>H148</f>
        <v>24674.07727174617</v>
      </c>
      <c r="C154" s="24">
        <f>B154/B151</f>
        <v>0.3</v>
      </c>
      <c r="F154" s="78"/>
      <c r="G154" s="78"/>
      <c r="H154" s="82"/>
      <c r="I154" s="78"/>
      <c r="J154" s="78"/>
    </row>
    <row r="155" spans="1:10" s="3" customFormat="1" ht="15">
      <c r="A155" s="79" t="s">
        <v>70</v>
      </c>
      <c r="B155" s="28">
        <f>B153-B154</f>
        <v>29608.892726095404</v>
      </c>
      <c r="C155" s="84">
        <f>B155/B151</f>
        <v>0.36</v>
      </c>
      <c r="F155" s="73"/>
      <c r="G155" s="73"/>
      <c r="H155" s="73"/>
      <c r="I155" s="73"/>
      <c r="J155" s="73"/>
    </row>
  </sheetData>
  <sheetProtection password="A166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opLeftCell="A46" workbookViewId="0">
      <selection activeCell="E17" sqref="E17"/>
    </sheetView>
  </sheetViews>
  <sheetFormatPr defaultRowHeight="15"/>
  <cols>
    <col min="1" max="1" width="32.85546875" style="2" customWidth="1"/>
    <col min="2" max="9" width="12.5703125" style="2" customWidth="1"/>
    <col min="10" max="16384" width="9.140625" style="2"/>
  </cols>
  <sheetData>
    <row r="1" spans="1:6" ht="15.75">
      <c r="A1" s="3" t="s">
        <v>415</v>
      </c>
      <c r="B1" s="4"/>
      <c r="C1" s="4"/>
      <c r="D1" s="4"/>
      <c r="E1" s="4"/>
      <c r="F1" s="4"/>
    </row>
    <row r="2" spans="1:6">
      <c r="A2" s="4"/>
      <c r="B2" s="4"/>
      <c r="C2" s="4"/>
      <c r="D2" s="4"/>
      <c r="E2" s="4"/>
      <c r="F2" s="4"/>
    </row>
    <row r="3" spans="1:6">
      <c r="A3" s="4" t="s">
        <v>247</v>
      </c>
      <c r="B3" s="4">
        <v>198</v>
      </c>
      <c r="C3" s="4"/>
      <c r="D3" s="4"/>
      <c r="E3" s="4"/>
      <c r="F3" s="4"/>
    </row>
    <row r="4" spans="1:6">
      <c r="A4" s="4" t="s">
        <v>175</v>
      </c>
      <c r="B4" s="4">
        <v>365</v>
      </c>
      <c r="C4" s="4"/>
      <c r="D4" s="4"/>
      <c r="E4" s="4"/>
      <c r="F4" s="4"/>
    </row>
    <row r="5" spans="1:6">
      <c r="A5" s="4" t="s">
        <v>248</v>
      </c>
      <c r="B5" s="4">
        <f>B3*B4</f>
        <v>72270</v>
      </c>
      <c r="C5" s="4"/>
      <c r="D5" s="4"/>
      <c r="E5" s="4"/>
      <c r="F5" s="4"/>
    </row>
    <row r="6" spans="1:6">
      <c r="A6" s="4" t="s">
        <v>154</v>
      </c>
      <c r="B6" s="5">
        <f>F11/B5</f>
        <v>0.7199944651999447</v>
      </c>
      <c r="C6" s="4"/>
      <c r="D6" s="4"/>
      <c r="E6" s="4"/>
      <c r="F6" s="4"/>
    </row>
    <row r="7" spans="1:6">
      <c r="A7" s="4"/>
      <c r="B7" s="6"/>
      <c r="C7" s="4"/>
      <c r="D7" s="4"/>
      <c r="E7" s="4"/>
      <c r="F7" s="4"/>
    </row>
    <row r="8" spans="1:6" ht="15.75">
      <c r="A8" s="3" t="s">
        <v>249</v>
      </c>
      <c r="B8" s="4"/>
      <c r="C8" s="4"/>
      <c r="D8" s="4"/>
      <c r="E8" s="4"/>
      <c r="F8" s="4"/>
    </row>
    <row r="9" spans="1:6">
      <c r="A9" s="4"/>
      <c r="B9" s="4"/>
      <c r="C9" s="4"/>
      <c r="D9" s="4"/>
      <c r="E9" s="4"/>
      <c r="F9" s="4"/>
    </row>
    <row r="10" spans="1:6" ht="15.75">
      <c r="A10" s="26" t="s">
        <v>250</v>
      </c>
      <c r="B10" s="7" t="s">
        <v>259</v>
      </c>
      <c r="C10" s="7" t="s">
        <v>251</v>
      </c>
      <c r="D10" s="7" t="s">
        <v>252</v>
      </c>
      <c r="E10" s="7" t="s">
        <v>253</v>
      </c>
      <c r="F10" s="7" t="s">
        <v>254</v>
      </c>
    </row>
    <row r="11" spans="1:6">
      <c r="A11" s="4" t="s">
        <v>155</v>
      </c>
      <c r="B11" s="22">
        <v>3642</v>
      </c>
      <c r="C11" s="23">
        <v>20814</v>
      </c>
      <c r="D11" s="23">
        <v>23415</v>
      </c>
      <c r="E11" s="23">
        <v>4163</v>
      </c>
      <c r="F11" s="23">
        <f>SUM(B11:E11)</f>
        <v>52034</v>
      </c>
    </row>
    <row r="12" spans="1:6">
      <c r="A12" s="4" t="s">
        <v>255</v>
      </c>
      <c r="B12" s="24">
        <f>B11/$F$11</f>
        <v>6.9992697082676705E-2</v>
      </c>
      <c r="C12" s="24">
        <f>C11/$F$11</f>
        <v>0.40000768728139291</v>
      </c>
      <c r="D12" s="24">
        <f>D11/$F$11</f>
        <v>0.44999423453895532</v>
      </c>
      <c r="E12" s="24">
        <f>E11/$F$11</f>
        <v>8.0005381096975053E-2</v>
      </c>
      <c r="F12" s="24">
        <f>F11/$F$11</f>
        <v>1</v>
      </c>
    </row>
    <row r="13" spans="1:6">
      <c r="A13" s="4" t="s">
        <v>416</v>
      </c>
      <c r="B13" s="29">
        <v>185</v>
      </c>
      <c r="C13" s="29">
        <v>185</v>
      </c>
      <c r="D13" s="29">
        <v>185</v>
      </c>
      <c r="E13" s="29">
        <v>185</v>
      </c>
      <c r="F13" s="29">
        <v>185</v>
      </c>
    </row>
    <row r="14" spans="1:6">
      <c r="A14" s="4" t="s">
        <v>256</v>
      </c>
      <c r="B14" s="25">
        <v>0</v>
      </c>
      <c r="C14" s="25">
        <v>0.25</v>
      </c>
      <c r="D14" s="25">
        <v>0.32</v>
      </c>
      <c r="E14" s="25">
        <v>0.4</v>
      </c>
      <c r="F14" s="24">
        <f>(F13-F15)/F13</f>
        <v>0.2760022293116039</v>
      </c>
    </row>
    <row r="15" spans="1:6">
      <c r="A15" s="4" t="s">
        <v>417</v>
      </c>
      <c r="B15" s="29">
        <f>(100%-B14)*B13</f>
        <v>185</v>
      </c>
      <c r="C15" s="29">
        <f>(100%-C14)*C13</f>
        <v>138.75</v>
      </c>
      <c r="D15" s="29">
        <f>(100%-D14)*D13</f>
        <v>125.79999999999998</v>
      </c>
      <c r="E15" s="29">
        <f>(100%-E14)*E13</f>
        <v>111</v>
      </c>
      <c r="F15" s="29">
        <f>F16/F11</f>
        <v>133.93958757735328</v>
      </c>
    </row>
    <row r="16" spans="1:6" s="1" customFormat="1" ht="15.75">
      <c r="A16" s="3" t="s">
        <v>257</v>
      </c>
      <c r="B16" s="27">
        <f>B11*B15</f>
        <v>673770</v>
      </c>
      <c r="C16" s="28">
        <f>C11*C15</f>
        <v>2887942.5</v>
      </c>
      <c r="D16" s="27">
        <f>D11*D15</f>
        <v>2945606.9999999995</v>
      </c>
      <c r="E16" s="27">
        <f>E11*E15</f>
        <v>462093</v>
      </c>
      <c r="F16" s="28">
        <f>SUM(B16:E16)</f>
        <v>6969412.5</v>
      </c>
    </row>
    <row r="17" spans="1:6">
      <c r="A17" s="4"/>
      <c r="B17" s="4"/>
      <c r="C17" s="8"/>
      <c r="D17" s="4"/>
      <c r="E17" s="4"/>
      <c r="F17" s="8"/>
    </row>
    <row r="18" spans="1:6" ht="15.75">
      <c r="A18" s="3" t="s">
        <v>258</v>
      </c>
      <c r="B18" s="4"/>
      <c r="C18" s="8"/>
      <c r="D18" s="4"/>
      <c r="E18" s="4"/>
      <c r="F18" s="8"/>
    </row>
    <row r="19" spans="1:6">
      <c r="A19" s="4"/>
      <c r="B19" s="4"/>
      <c r="C19" s="4"/>
      <c r="D19" s="4"/>
      <c r="E19" s="4"/>
      <c r="F19" s="4"/>
    </row>
    <row r="20" spans="1:6">
      <c r="A20" s="4" t="s">
        <v>247</v>
      </c>
      <c r="B20" s="4">
        <v>198</v>
      </c>
      <c r="C20" s="4"/>
      <c r="D20" s="4"/>
      <c r="E20" s="4"/>
      <c r="F20" s="4"/>
    </row>
    <row r="21" spans="1:6">
      <c r="A21" s="4" t="s">
        <v>175</v>
      </c>
      <c r="B21" s="4">
        <v>365</v>
      </c>
      <c r="C21" s="4"/>
      <c r="D21" s="4"/>
      <c r="E21" s="4"/>
      <c r="F21" s="4"/>
    </row>
    <row r="22" spans="1:6">
      <c r="A22" s="4" t="s">
        <v>248</v>
      </c>
      <c r="B22" s="4">
        <f>B20*B21</f>
        <v>72270</v>
      </c>
      <c r="C22" s="4"/>
      <c r="D22" s="4"/>
      <c r="E22" s="4"/>
      <c r="F22" s="4"/>
    </row>
    <row r="23" spans="1:6">
      <c r="A23" s="4" t="s">
        <v>154</v>
      </c>
      <c r="B23" s="5">
        <v>0.75</v>
      </c>
      <c r="C23" s="4"/>
      <c r="D23" s="4"/>
      <c r="E23" s="4"/>
      <c r="F23" s="4"/>
    </row>
    <row r="24" spans="1:6">
      <c r="A24" s="4"/>
      <c r="B24" s="4"/>
      <c r="C24" s="4"/>
      <c r="D24" s="4"/>
      <c r="E24" s="4"/>
      <c r="F24" s="4"/>
    </row>
    <row r="25" spans="1:6" ht="15.75">
      <c r="A25" s="26" t="s">
        <v>250</v>
      </c>
      <c r="B25" s="7" t="s">
        <v>259</v>
      </c>
      <c r="C25" s="7" t="s">
        <v>251</v>
      </c>
      <c r="D25" s="7" t="s">
        <v>252</v>
      </c>
      <c r="E25" s="7" t="s">
        <v>253</v>
      </c>
      <c r="F25" s="7" t="s">
        <v>254</v>
      </c>
    </row>
    <row r="26" spans="1:6">
      <c r="A26" s="4" t="s">
        <v>155</v>
      </c>
      <c r="B26" s="22">
        <f>B27*$F$26</f>
        <v>3794.1750000000002</v>
      </c>
      <c r="C26" s="22">
        <f>C27*$F$26</f>
        <v>21681</v>
      </c>
      <c r="D26" s="22">
        <f>D27*$F$26</f>
        <v>24391.125</v>
      </c>
      <c r="E26" s="22">
        <f>E27*$F$26</f>
        <v>4336.2</v>
      </c>
      <c r="F26" s="22">
        <f>B22*B23</f>
        <v>54202.5</v>
      </c>
    </row>
    <row r="27" spans="1:6">
      <c r="A27" s="4" t="s">
        <v>255</v>
      </c>
      <c r="B27" s="24">
        <v>7.0000000000000007E-2</v>
      </c>
      <c r="C27" s="24">
        <v>0.4</v>
      </c>
      <c r="D27" s="24">
        <v>0.45</v>
      </c>
      <c r="E27" s="24">
        <v>0.08</v>
      </c>
      <c r="F27" s="24">
        <f>F12</f>
        <v>1</v>
      </c>
    </row>
    <row r="28" spans="1:6">
      <c r="A28" s="4" t="s">
        <v>416</v>
      </c>
      <c r="B28" s="29">
        <f>B13*1.06</f>
        <v>196.10000000000002</v>
      </c>
      <c r="C28" s="29">
        <f>C13*1.06</f>
        <v>196.10000000000002</v>
      </c>
      <c r="D28" s="29">
        <f>D13*1.06</f>
        <v>196.10000000000002</v>
      </c>
      <c r="E28" s="29">
        <f>E13*1.06</f>
        <v>196.10000000000002</v>
      </c>
      <c r="F28" s="29">
        <f>F13*1.06</f>
        <v>196.10000000000002</v>
      </c>
    </row>
    <row r="29" spans="1:6">
      <c r="A29" s="4" t="s">
        <v>256</v>
      </c>
      <c r="B29" s="25">
        <v>0</v>
      </c>
      <c r="C29" s="25">
        <v>0.42</v>
      </c>
      <c r="D29" s="25">
        <v>0.32</v>
      </c>
      <c r="E29" s="25">
        <f>(E28-E30)/E28</f>
        <v>0.38806731259561456</v>
      </c>
      <c r="F29" s="24">
        <f>(F28-F30)/F28</f>
        <v>0.34304538500764908</v>
      </c>
    </row>
    <row r="30" spans="1:6">
      <c r="A30" s="4" t="s">
        <v>417</v>
      </c>
      <c r="B30" s="29">
        <f>(100%-B29)*B28</f>
        <v>196.10000000000002</v>
      </c>
      <c r="C30" s="29">
        <f>(100%-C29)*C28</f>
        <v>113.73800000000003</v>
      </c>
      <c r="D30" s="29">
        <f>(100%-D29)*D28</f>
        <v>133.34800000000001</v>
      </c>
      <c r="E30" s="29">
        <v>120</v>
      </c>
      <c r="F30" s="29">
        <f>F31/F26</f>
        <v>128.82880000000003</v>
      </c>
    </row>
    <row r="31" spans="1:6" s="1" customFormat="1" ht="15.75">
      <c r="A31" s="3" t="s">
        <v>257</v>
      </c>
      <c r="B31" s="28">
        <f>B26*B30</f>
        <v>744037.71750000014</v>
      </c>
      <c r="C31" s="28">
        <f>C26*C30</f>
        <v>2465953.5780000007</v>
      </c>
      <c r="D31" s="28">
        <f>D26*D30</f>
        <v>3252507.7365000001</v>
      </c>
      <c r="E31" s="28">
        <f>E26*E30</f>
        <v>520344</v>
      </c>
      <c r="F31" s="28">
        <f>SUM(B31:E31)</f>
        <v>6982843.0320000015</v>
      </c>
    </row>
    <row r="33" spans="1:10" ht="15.75">
      <c r="A33" s="9" t="s">
        <v>418</v>
      </c>
      <c r="B33" s="9"/>
      <c r="C33" s="10"/>
      <c r="D33" s="10"/>
      <c r="E33" s="10"/>
      <c r="F33" s="10"/>
      <c r="G33" s="10"/>
      <c r="H33" s="10"/>
      <c r="I33" s="10"/>
      <c r="J33" s="10"/>
    </row>
    <row r="34" spans="1:10" ht="15.75">
      <c r="A34" s="9"/>
      <c r="B34" s="9"/>
      <c r="C34" s="10"/>
      <c r="D34" s="10"/>
      <c r="E34" s="10"/>
      <c r="F34" s="10"/>
      <c r="G34" s="10"/>
      <c r="H34" s="10"/>
      <c r="I34" s="10"/>
      <c r="J34" s="10"/>
    </row>
    <row r="35" spans="1:10" ht="15.75">
      <c r="A35" s="11" t="s">
        <v>260</v>
      </c>
      <c r="B35" s="19" t="s">
        <v>238</v>
      </c>
      <c r="C35" s="19" t="s">
        <v>239</v>
      </c>
      <c r="D35" s="19" t="s">
        <v>240</v>
      </c>
      <c r="E35" s="19" t="s">
        <v>241</v>
      </c>
      <c r="F35" s="19" t="s">
        <v>242</v>
      </c>
      <c r="G35" s="19" t="s">
        <v>243</v>
      </c>
      <c r="H35" s="19" t="s">
        <v>244</v>
      </c>
      <c r="I35" s="19" t="s">
        <v>261</v>
      </c>
      <c r="J35" s="10"/>
    </row>
    <row r="36" spans="1:10">
      <c r="A36" s="10" t="s">
        <v>154</v>
      </c>
      <c r="B36" s="12">
        <v>0.7</v>
      </c>
      <c r="C36" s="12">
        <v>0.7</v>
      </c>
      <c r="D36" s="12">
        <v>0.7</v>
      </c>
      <c r="E36" s="12">
        <v>0.7</v>
      </c>
      <c r="F36" s="12">
        <v>0.4</v>
      </c>
      <c r="G36" s="12">
        <v>0.4</v>
      </c>
      <c r="H36" s="12">
        <v>0.4</v>
      </c>
      <c r="I36" s="13"/>
      <c r="J36" s="10"/>
    </row>
    <row r="37" spans="1:10">
      <c r="A37" s="10" t="s">
        <v>151</v>
      </c>
      <c r="B37" s="13">
        <v>240</v>
      </c>
      <c r="C37" s="13">
        <v>240</v>
      </c>
      <c r="D37" s="13">
        <v>240</v>
      </c>
      <c r="E37" s="13">
        <v>240</v>
      </c>
      <c r="F37" s="13">
        <v>240</v>
      </c>
      <c r="G37" s="13">
        <v>240</v>
      </c>
      <c r="H37" s="13">
        <v>240</v>
      </c>
      <c r="I37" s="13"/>
      <c r="J37" s="10"/>
    </row>
    <row r="38" spans="1:10">
      <c r="A38" s="10" t="s">
        <v>155</v>
      </c>
      <c r="B38" s="13">
        <f>B37*B36</f>
        <v>168</v>
      </c>
      <c r="C38" s="13">
        <f t="shared" ref="C38:H38" si="0">C37*C36</f>
        <v>168</v>
      </c>
      <c r="D38" s="13">
        <f t="shared" si="0"/>
        <v>168</v>
      </c>
      <c r="E38" s="13">
        <f t="shared" si="0"/>
        <v>168</v>
      </c>
      <c r="F38" s="13">
        <f t="shared" si="0"/>
        <v>96</v>
      </c>
      <c r="G38" s="13">
        <f t="shared" si="0"/>
        <v>96</v>
      </c>
      <c r="H38" s="13">
        <f t="shared" si="0"/>
        <v>96</v>
      </c>
      <c r="I38" s="14">
        <f>SUM(B38:H38)</f>
        <v>960</v>
      </c>
      <c r="J38" s="10"/>
    </row>
    <row r="39" spans="1:10">
      <c r="A39" s="10" t="s">
        <v>262</v>
      </c>
      <c r="B39" s="12">
        <v>0.1</v>
      </c>
      <c r="C39" s="12">
        <v>0.1</v>
      </c>
      <c r="D39" s="12">
        <v>0.1</v>
      </c>
      <c r="E39" s="12">
        <v>0.1</v>
      </c>
      <c r="F39" s="12">
        <v>0.4</v>
      </c>
      <c r="G39" s="12">
        <v>0.4</v>
      </c>
      <c r="H39" s="12">
        <v>0.4</v>
      </c>
      <c r="I39" s="14"/>
      <c r="J39" s="10"/>
    </row>
    <row r="40" spans="1:10" s="1" customFormat="1" ht="15.75">
      <c r="A40" s="9" t="s">
        <v>263</v>
      </c>
      <c r="B40" s="15">
        <f>B38+(B39*B38)</f>
        <v>184.8</v>
      </c>
      <c r="C40" s="15">
        <f t="shared" ref="C40:H40" si="1">C38+(C39*C38)</f>
        <v>184.8</v>
      </c>
      <c r="D40" s="15">
        <f t="shared" si="1"/>
        <v>184.8</v>
      </c>
      <c r="E40" s="15">
        <f t="shared" si="1"/>
        <v>184.8</v>
      </c>
      <c r="F40" s="15">
        <f t="shared" si="1"/>
        <v>134.4</v>
      </c>
      <c r="G40" s="15">
        <f t="shared" si="1"/>
        <v>134.4</v>
      </c>
      <c r="H40" s="15">
        <f t="shared" si="1"/>
        <v>134.4</v>
      </c>
      <c r="I40" s="15">
        <f>SUM(B40:H40)</f>
        <v>1142.4000000000001</v>
      </c>
      <c r="J40" s="9"/>
    </row>
    <row r="41" spans="1:10">
      <c r="A41" s="10" t="s">
        <v>264</v>
      </c>
      <c r="B41" s="14">
        <v>4</v>
      </c>
      <c r="C41" s="14">
        <v>5</v>
      </c>
      <c r="D41" s="14">
        <v>5</v>
      </c>
      <c r="E41" s="14">
        <v>5</v>
      </c>
      <c r="F41" s="14">
        <v>4</v>
      </c>
      <c r="G41" s="14">
        <v>4</v>
      </c>
      <c r="H41" s="14">
        <v>4</v>
      </c>
      <c r="I41" s="14"/>
      <c r="J41" s="10"/>
    </row>
    <row r="42" spans="1:10" ht="15.75">
      <c r="A42" s="9" t="s">
        <v>265</v>
      </c>
      <c r="B42" s="15">
        <f>B40*B41</f>
        <v>739.2</v>
      </c>
      <c r="C42" s="15">
        <f t="shared" ref="C42:H42" si="2">C40*C41</f>
        <v>924</v>
      </c>
      <c r="D42" s="15">
        <f t="shared" si="2"/>
        <v>924</v>
      </c>
      <c r="E42" s="15">
        <f t="shared" si="2"/>
        <v>924</v>
      </c>
      <c r="F42" s="15">
        <f t="shared" si="2"/>
        <v>537.6</v>
      </c>
      <c r="G42" s="15">
        <f t="shared" si="2"/>
        <v>537.6</v>
      </c>
      <c r="H42" s="15">
        <f t="shared" si="2"/>
        <v>537.6</v>
      </c>
      <c r="I42" s="15">
        <f>SUM(B42:H42)</f>
        <v>5124</v>
      </c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6"/>
      <c r="J43" s="10"/>
    </row>
    <row r="44" spans="1:10" ht="15.75">
      <c r="A44" s="11" t="s">
        <v>272</v>
      </c>
      <c r="B44" s="10"/>
      <c r="C44" s="10"/>
      <c r="D44" s="10"/>
      <c r="E44" s="10"/>
      <c r="F44" s="10"/>
      <c r="G44" s="10"/>
      <c r="H44" s="10"/>
      <c r="I44" s="16"/>
      <c r="J44" s="10"/>
    </row>
    <row r="45" spans="1:10">
      <c r="A45" s="10" t="s">
        <v>266</v>
      </c>
      <c r="B45" s="13">
        <v>240</v>
      </c>
      <c r="C45" s="13">
        <v>240</v>
      </c>
      <c r="D45" s="13">
        <v>240</v>
      </c>
      <c r="E45" s="13">
        <v>240</v>
      </c>
      <c r="F45" s="13">
        <v>240</v>
      </c>
      <c r="G45" s="13"/>
      <c r="H45" s="13"/>
      <c r="I45" s="14">
        <f>SUM(B45:H45)</f>
        <v>1200</v>
      </c>
      <c r="J45" s="10"/>
    </row>
    <row r="46" spans="1:10">
      <c r="A46" s="10" t="s">
        <v>267</v>
      </c>
      <c r="B46" s="13"/>
      <c r="C46" s="13">
        <v>50</v>
      </c>
      <c r="D46" s="13">
        <v>50</v>
      </c>
      <c r="E46" s="13">
        <v>50</v>
      </c>
      <c r="F46" s="13"/>
      <c r="G46" s="13"/>
      <c r="H46" s="13"/>
      <c r="I46" s="14">
        <f>SUM(B46:H46)</f>
        <v>150</v>
      </c>
      <c r="J46" s="10"/>
    </row>
    <row r="47" spans="1:10" s="1" customFormat="1" ht="15.75">
      <c r="A47" s="9" t="s">
        <v>254</v>
      </c>
      <c r="B47" s="20">
        <f>SUM(B45:B46)</f>
        <v>240</v>
      </c>
      <c r="C47" s="20">
        <f t="shared" ref="C47:F47" si="3">SUM(C45:C46)</f>
        <v>290</v>
      </c>
      <c r="D47" s="20">
        <f t="shared" si="3"/>
        <v>290</v>
      </c>
      <c r="E47" s="20">
        <f t="shared" si="3"/>
        <v>290</v>
      </c>
      <c r="F47" s="20">
        <f t="shared" si="3"/>
        <v>240</v>
      </c>
      <c r="G47" s="20"/>
      <c r="H47" s="20"/>
      <c r="I47" s="15">
        <f>SUM(B47:H47)</f>
        <v>1350</v>
      </c>
      <c r="J47" s="9"/>
    </row>
    <row r="48" spans="1:10">
      <c r="A48" s="10" t="s">
        <v>264</v>
      </c>
      <c r="B48" s="14">
        <v>4</v>
      </c>
      <c r="C48" s="14">
        <v>5</v>
      </c>
      <c r="D48" s="14">
        <v>5</v>
      </c>
      <c r="E48" s="14">
        <v>5</v>
      </c>
      <c r="F48" s="14">
        <v>4</v>
      </c>
      <c r="G48" s="14"/>
      <c r="H48" s="14"/>
      <c r="I48" s="14"/>
      <c r="J48" s="10"/>
    </row>
    <row r="49" spans="1:10" s="1" customFormat="1" ht="15.75">
      <c r="A49" s="9" t="s">
        <v>271</v>
      </c>
      <c r="B49" s="15">
        <f>B48*B47</f>
        <v>960</v>
      </c>
      <c r="C49" s="15">
        <f t="shared" ref="C49:F49" si="4">C48*C47</f>
        <v>1450</v>
      </c>
      <c r="D49" s="15">
        <f t="shared" si="4"/>
        <v>1450</v>
      </c>
      <c r="E49" s="15">
        <f t="shared" si="4"/>
        <v>1450</v>
      </c>
      <c r="F49" s="15">
        <f t="shared" si="4"/>
        <v>960</v>
      </c>
      <c r="G49" s="15"/>
      <c r="H49" s="15"/>
      <c r="I49" s="15">
        <f>SUM(B49:H49)</f>
        <v>6270</v>
      </c>
      <c r="J49" s="9"/>
    </row>
    <row r="50" spans="1:10">
      <c r="A50" s="10"/>
      <c r="B50" s="10"/>
      <c r="C50" s="10"/>
      <c r="D50" s="10"/>
      <c r="E50" s="10"/>
      <c r="F50" s="10"/>
      <c r="G50" s="10"/>
      <c r="H50" s="10"/>
      <c r="I50" s="16"/>
      <c r="J50" s="10"/>
    </row>
    <row r="51" spans="1:10" ht="15.75">
      <c r="A51" s="11" t="s">
        <v>268</v>
      </c>
      <c r="B51" s="10"/>
      <c r="C51" s="10"/>
      <c r="D51" s="10"/>
      <c r="E51" s="10"/>
      <c r="F51" s="10"/>
      <c r="G51" s="10"/>
      <c r="H51" s="10"/>
      <c r="I51" s="16"/>
      <c r="J51" s="10"/>
    </row>
    <row r="52" spans="1:10">
      <c r="A52" s="10" t="s">
        <v>269</v>
      </c>
      <c r="B52" s="14">
        <f>10%*B40</f>
        <v>18.48</v>
      </c>
      <c r="C52" s="14">
        <f t="shared" ref="C52:H52" si="5">10%*C40</f>
        <v>18.48</v>
      </c>
      <c r="D52" s="14">
        <f t="shared" si="5"/>
        <v>18.48</v>
      </c>
      <c r="E52" s="14">
        <f t="shared" si="5"/>
        <v>18.48</v>
      </c>
      <c r="F52" s="14">
        <f t="shared" si="5"/>
        <v>13.440000000000001</v>
      </c>
      <c r="G52" s="14">
        <f t="shared" si="5"/>
        <v>13.440000000000001</v>
      </c>
      <c r="H52" s="14">
        <f t="shared" si="5"/>
        <v>13.440000000000001</v>
      </c>
      <c r="I52" s="14">
        <f>SUM(B52:H52)</f>
        <v>114.24</v>
      </c>
      <c r="J52" s="10"/>
    </row>
    <row r="53" spans="1:10">
      <c r="A53" s="10" t="s">
        <v>270</v>
      </c>
      <c r="B53" s="13">
        <v>40</v>
      </c>
      <c r="C53" s="13">
        <v>40</v>
      </c>
      <c r="D53" s="13">
        <v>40</v>
      </c>
      <c r="E53" s="13">
        <v>40</v>
      </c>
      <c r="F53" s="13">
        <v>80</v>
      </c>
      <c r="G53" s="13">
        <v>80</v>
      </c>
      <c r="H53" s="13">
        <v>80</v>
      </c>
      <c r="I53" s="14">
        <f>SUM(B53:H53)</f>
        <v>400</v>
      </c>
      <c r="J53" s="10"/>
    </row>
    <row r="54" spans="1:10" s="1" customFormat="1" ht="15.75">
      <c r="A54" s="9" t="s">
        <v>254</v>
      </c>
      <c r="B54" s="15">
        <f>SUM(B52:B53)</f>
        <v>58.480000000000004</v>
      </c>
      <c r="C54" s="15">
        <f t="shared" ref="C54:H54" si="6">SUM(C52:C53)</f>
        <v>58.480000000000004</v>
      </c>
      <c r="D54" s="15">
        <f t="shared" si="6"/>
        <v>58.480000000000004</v>
      </c>
      <c r="E54" s="15">
        <f t="shared" si="6"/>
        <v>58.480000000000004</v>
      </c>
      <c r="F54" s="15">
        <f t="shared" si="6"/>
        <v>93.44</v>
      </c>
      <c r="G54" s="15">
        <f t="shared" si="6"/>
        <v>93.44</v>
      </c>
      <c r="H54" s="15">
        <f t="shared" si="6"/>
        <v>93.44</v>
      </c>
      <c r="I54" s="15">
        <f>SUM(B54:H54)</f>
        <v>514.24</v>
      </c>
      <c r="J54" s="9"/>
    </row>
    <row r="55" spans="1:10">
      <c r="A55" s="10" t="s">
        <v>264</v>
      </c>
      <c r="B55" s="14">
        <v>4</v>
      </c>
      <c r="C55" s="14">
        <v>5</v>
      </c>
      <c r="D55" s="14">
        <v>5</v>
      </c>
      <c r="E55" s="14">
        <v>5</v>
      </c>
      <c r="F55" s="14">
        <v>4</v>
      </c>
      <c r="G55" s="14">
        <v>4</v>
      </c>
      <c r="H55" s="14">
        <v>4</v>
      </c>
      <c r="I55" s="14"/>
      <c r="J55" s="10"/>
    </row>
    <row r="56" spans="1:10" s="1" customFormat="1" ht="15.75">
      <c r="A56" s="9" t="s">
        <v>277</v>
      </c>
      <c r="B56" s="15">
        <f>B54*B55</f>
        <v>233.92000000000002</v>
      </c>
      <c r="C56" s="15">
        <f t="shared" ref="C56:H56" si="7">C54*C55</f>
        <v>292.40000000000003</v>
      </c>
      <c r="D56" s="15">
        <f t="shared" si="7"/>
        <v>292.40000000000003</v>
      </c>
      <c r="E56" s="15">
        <f t="shared" si="7"/>
        <v>292.40000000000003</v>
      </c>
      <c r="F56" s="15">
        <f t="shared" si="7"/>
        <v>373.76</v>
      </c>
      <c r="G56" s="15">
        <f t="shared" si="7"/>
        <v>373.76</v>
      </c>
      <c r="H56" s="15">
        <f t="shared" si="7"/>
        <v>373.76</v>
      </c>
      <c r="I56" s="15">
        <f>SUM(B56:H56)</f>
        <v>2232.4</v>
      </c>
      <c r="J56" s="9"/>
    </row>
    <row r="57" spans="1:10" ht="15.75">
      <c r="A57" s="9"/>
      <c r="B57" s="17"/>
      <c r="C57" s="17"/>
      <c r="D57" s="17"/>
      <c r="E57" s="17"/>
      <c r="F57" s="17"/>
      <c r="G57" s="17"/>
      <c r="H57" s="17"/>
      <c r="I57" s="16"/>
      <c r="J57" s="10"/>
    </row>
    <row r="58" spans="1:10" ht="15.75">
      <c r="A58" s="11" t="s">
        <v>273</v>
      </c>
      <c r="B58" s="17"/>
      <c r="C58" s="17"/>
      <c r="D58" s="17"/>
      <c r="E58" s="17"/>
      <c r="F58" s="17"/>
      <c r="G58" s="17"/>
      <c r="H58" s="17"/>
      <c r="I58" s="16"/>
      <c r="J58" s="10"/>
    </row>
    <row r="59" spans="1:10">
      <c r="A59" s="10" t="s">
        <v>260</v>
      </c>
      <c r="B59" s="18">
        <f>8/1.13</f>
        <v>7.0796460176991154</v>
      </c>
      <c r="C59" s="18">
        <f t="shared" ref="C59:H59" si="8">8/1.13</f>
        <v>7.0796460176991154</v>
      </c>
      <c r="D59" s="18">
        <f t="shared" si="8"/>
        <v>7.0796460176991154</v>
      </c>
      <c r="E59" s="18">
        <f t="shared" si="8"/>
        <v>7.0796460176991154</v>
      </c>
      <c r="F59" s="18">
        <f t="shared" si="8"/>
        <v>7.0796460176991154</v>
      </c>
      <c r="G59" s="18">
        <f t="shared" si="8"/>
        <v>7.0796460176991154</v>
      </c>
      <c r="H59" s="18">
        <f t="shared" si="8"/>
        <v>7.0796460176991154</v>
      </c>
      <c r="I59" s="16"/>
      <c r="J59" s="10"/>
    </row>
    <row r="60" spans="1:10">
      <c r="A60" s="10" t="s">
        <v>272</v>
      </c>
      <c r="B60" s="18">
        <f>14/1.13</f>
        <v>12.389380530973453</v>
      </c>
      <c r="C60" s="18">
        <f t="shared" ref="C60:H60" si="9">14/1.13</f>
        <v>12.389380530973453</v>
      </c>
      <c r="D60" s="18">
        <f t="shared" si="9"/>
        <v>12.389380530973453</v>
      </c>
      <c r="E60" s="18">
        <f t="shared" si="9"/>
        <v>12.389380530973453</v>
      </c>
      <c r="F60" s="18">
        <f t="shared" si="9"/>
        <v>12.389380530973453</v>
      </c>
      <c r="G60" s="18">
        <f t="shared" si="9"/>
        <v>12.389380530973453</v>
      </c>
      <c r="H60" s="18">
        <f t="shared" si="9"/>
        <v>12.389380530973453</v>
      </c>
      <c r="I60" s="16"/>
      <c r="J60" s="10"/>
    </row>
    <row r="61" spans="1:10">
      <c r="A61" s="10" t="s">
        <v>268</v>
      </c>
      <c r="B61" s="18">
        <f>26/1.13</f>
        <v>23.008849557522126</v>
      </c>
      <c r="C61" s="18">
        <f t="shared" ref="C61:H61" si="10">26/1.13</f>
        <v>23.008849557522126</v>
      </c>
      <c r="D61" s="18">
        <f t="shared" si="10"/>
        <v>23.008849557522126</v>
      </c>
      <c r="E61" s="18">
        <f t="shared" si="10"/>
        <v>23.008849557522126</v>
      </c>
      <c r="F61" s="18">
        <f t="shared" si="10"/>
        <v>23.008849557522126</v>
      </c>
      <c r="G61" s="18">
        <f t="shared" si="10"/>
        <v>23.008849557522126</v>
      </c>
      <c r="H61" s="18">
        <f t="shared" si="10"/>
        <v>23.008849557522126</v>
      </c>
      <c r="I61" s="16"/>
      <c r="J61" s="10"/>
    </row>
    <row r="62" spans="1:10">
      <c r="A62" s="10" t="s">
        <v>278</v>
      </c>
      <c r="B62" s="18">
        <f>20/1.23</f>
        <v>16.260162601626018</v>
      </c>
      <c r="C62" s="18">
        <f t="shared" ref="C62:H62" si="11">20/1.23</f>
        <v>16.260162601626018</v>
      </c>
      <c r="D62" s="18">
        <f t="shared" si="11"/>
        <v>16.260162601626018</v>
      </c>
      <c r="E62" s="18">
        <f t="shared" si="11"/>
        <v>16.260162601626018</v>
      </c>
      <c r="F62" s="18">
        <f t="shared" si="11"/>
        <v>16.260162601626018</v>
      </c>
      <c r="G62" s="18">
        <f t="shared" si="11"/>
        <v>16.260162601626018</v>
      </c>
      <c r="H62" s="18">
        <f t="shared" si="11"/>
        <v>16.260162601626018</v>
      </c>
      <c r="I62" s="16"/>
      <c r="J62" s="10"/>
    </row>
    <row r="63" spans="1:10">
      <c r="A63" s="10"/>
      <c r="B63" s="10"/>
      <c r="C63" s="10"/>
      <c r="D63" s="10"/>
      <c r="E63" s="10"/>
      <c r="F63" s="10"/>
      <c r="G63" s="10"/>
      <c r="H63" s="10"/>
      <c r="I63" s="16"/>
      <c r="J63" s="10"/>
    </row>
    <row r="64" spans="1:10" ht="15.75">
      <c r="A64" s="11" t="s">
        <v>275</v>
      </c>
      <c r="B64" s="10"/>
      <c r="C64" s="10"/>
      <c r="D64" s="10"/>
      <c r="E64" s="10"/>
      <c r="F64" s="10"/>
      <c r="G64" s="10"/>
      <c r="H64" s="10"/>
      <c r="I64" s="16"/>
      <c r="J64" s="10"/>
    </row>
    <row r="65" spans="1:10">
      <c r="A65" s="10" t="s">
        <v>260</v>
      </c>
      <c r="B65" s="14">
        <f>B42*B59</f>
        <v>5233.2743362831861</v>
      </c>
      <c r="C65" s="14">
        <f t="shared" ref="C65:H65" si="12">C42*C59</f>
        <v>6541.5929203539827</v>
      </c>
      <c r="D65" s="14">
        <f t="shared" si="12"/>
        <v>6541.5929203539827</v>
      </c>
      <c r="E65" s="14">
        <f t="shared" si="12"/>
        <v>6541.5929203539827</v>
      </c>
      <c r="F65" s="14">
        <f t="shared" si="12"/>
        <v>3806.0176991150447</v>
      </c>
      <c r="G65" s="14">
        <f t="shared" si="12"/>
        <v>3806.0176991150447</v>
      </c>
      <c r="H65" s="14">
        <f t="shared" si="12"/>
        <v>3806.0176991150447</v>
      </c>
      <c r="I65" s="14">
        <f>SUM(B65:H65)</f>
        <v>36276.106194690263</v>
      </c>
      <c r="J65" s="10"/>
    </row>
    <row r="66" spans="1:10">
      <c r="A66" s="10" t="s">
        <v>272</v>
      </c>
      <c r="B66" s="14">
        <f>B49*B60</f>
        <v>11893.805309734515</v>
      </c>
      <c r="C66" s="14">
        <f t="shared" ref="C66:H66" si="13">C49*C60</f>
        <v>17964.601769911507</v>
      </c>
      <c r="D66" s="14">
        <f t="shared" si="13"/>
        <v>17964.601769911507</v>
      </c>
      <c r="E66" s="14">
        <f t="shared" si="13"/>
        <v>17964.601769911507</v>
      </c>
      <c r="F66" s="14">
        <f t="shared" si="13"/>
        <v>11893.805309734515</v>
      </c>
      <c r="G66" s="14">
        <f t="shared" si="13"/>
        <v>0</v>
      </c>
      <c r="H66" s="14">
        <f t="shared" si="13"/>
        <v>0</v>
      </c>
      <c r="I66" s="14">
        <f t="shared" ref="I66:I68" si="14">SUM(B66:H66)</f>
        <v>77681.415929203547</v>
      </c>
      <c r="J66" s="10"/>
    </row>
    <row r="67" spans="1:10">
      <c r="A67" s="10" t="s">
        <v>268</v>
      </c>
      <c r="B67" s="14">
        <f>B56*B61</f>
        <v>5382.2300884955757</v>
      </c>
      <c r="C67" s="14">
        <f t="shared" ref="C67:H67" si="15">C56*C61</f>
        <v>6727.7876106194708</v>
      </c>
      <c r="D67" s="14">
        <f t="shared" si="15"/>
        <v>6727.7876106194708</v>
      </c>
      <c r="E67" s="14">
        <f t="shared" si="15"/>
        <v>6727.7876106194708</v>
      </c>
      <c r="F67" s="14">
        <f t="shared" si="15"/>
        <v>8599.787610619469</v>
      </c>
      <c r="G67" s="14">
        <f t="shared" si="15"/>
        <v>8599.787610619469</v>
      </c>
      <c r="H67" s="14">
        <f t="shared" si="15"/>
        <v>8599.787610619469</v>
      </c>
      <c r="I67" s="14">
        <f t="shared" si="14"/>
        <v>51364.955752212394</v>
      </c>
      <c r="J67" s="10"/>
    </row>
    <row r="68" spans="1:10">
      <c r="A68" s="10" t="s">
        <v>274</v>
      </c>
      <c r="B68" s="14">
        <f>B56*B62</f>
        <v>3803.5772357723581</v>
      </c>
      <c r="C68" s="14">
        <f t="shared" ref="C68:H68" si="16">C56*C62</f>
        <v>4754.4715447154485</v>
      </c>
      <c r="D68" s="14">
        <f t="shared" si="16"/>
        <v>4754.4715447154485</v>
      </c>
      <c r="E68" s="14">
        <f t="shared" si="16"/>
        <v>4754.4715447154485</v>
      </c>
      <c r="F68" s="14">
        <f t="shared" si="16"/>
        <v>6077.3983739837404</v>
      </c>
      <c r="G68" s="14">
        <f t="shared" si="16"/>
        <v>6077.3983739837404</v>
      </c>
      <c r="H68" s="14">
        <f t="shared" si="16"/>
        <v>6077.3983739837404</v>
      </c>
      <c r="I68" s="14">
        <f t="shared" si="14"/>
        <v>36299.18699186993</v>
      </c>
      <c r="J68" s="10"/>
    </row>
    <row r="69" spans="1:10">
      <c r="A69" s="10"/>
      <c r="B69" s="10"/>
      <c r="C69" s="10"/>
      <c r="D69" s="10"/>
      <c r="E69" s="10"/>
      <c r="F69" s="10"/>
      <c r="G69" s="10"/>
      <c r="H69" s="10"/>
      <c r="I69" s="16"/>
      <c r="J69" s="10"/>
    </row>
    <row r="70" spans="1:10" ht="15.75">
      <c r="A70" s="9" t="s">
        <v>276</v>
      </c>
      <c r="B70" s="15">
        <f>SUM(B65:B68)</f>
        <v>26312.886970285635</v>
      </c>
      <c r="C70" s="15">
        <f t="shared" ref="C70:I70" si="17">SUM(C65:C68)</f>
        <v>35988.453845600408</v>
      </c>
      <c r="D70" s="15">
        <f t="shared" si="17"/>
        <v>35988.453845600408</v>
      </c>
      <c r="E70" s="15">
        <f t="shared" si="17"/>
        <v>35988.453845600408</v>
      </c>
      <c r="F70" s="15">
        <f t="shared" si="17"/>
        <v>30377.008993452771</v>
      </c>
      <c r="G70" s="15">
        <f t="shared" si="17"/>
        <v>18483.203683718253</v>
      </c>
      <c r="H70" s="15">
        <f t="shared" si="17"/>
        <v>18483.203683718253</v>
      </c>
      <c r="I70" s="15">
        <f t="shared" si="17"/>
        <v>201621.66486797616</v>
      </c>
      <c r="J70" s="21"/>
    </row>
    <row r="71" spans="1:10">
      <c r="A71" s="10"/>
      <c r="B71" s="10"/>
      <c r="C71" s="10"/>
      <c r="D71" s="10"/>
      <c r="E71" s="10"/>
      <c r="F71" s="10"/>
      <c r="G71" s="10"/>
      <c r="H71" s="10"/>
      <c r="I71" s="16"/>
      <c r="J71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9"/>
  <sheetViews>
    <sheetView tabSelected="1" topLeftCell="A283" workbookViewId="0">
      <selection activeCell="B276" sqref="B276"/>
    </sheetView>
  </sheetViews>
  <sheetFormatPr defaultRowHeight="14.25"/>
  <cols>
    <col min="1" max="1" width="25.42578125" style="4" customWidth="1"/>
    <col min="2" max="18" width="14.28515625" style="4" customWidth="1"/>
    <col min="19" max="16384" width="9.140625" style="4"/>
  </cols>
  <sheetData>
    <row r="1" spans="1:4" ht="15">
      <c r="A1" s="3" t="s">
        <v>420</v>
      </c>
    </row>
    <row r="2" spans="1:4" ht="15">
      <c r="A2" s="3"/>
    </row>
    <row r="3" spans="1:4" ht="15">
      <c r="B3" s="65" t="s">
        <v>279</v>
      </c>
      <c r="C3" s="65" t="s">
        <v>280</v>
      </c>
      <c r="D3" s="65" t="s">
        <v>261</v>
      </c>
    </row>
    <row r="4" spans="1:4">
      <c r="A4" s="4" t="s">
        <v>281</v>
      </c>
      <c r="B4" s="23">
        <v>120</v>
      </c>
      <c r="C4" s="23">
        <v>120</v>
      </c>
      <c r="D4" s="23">
        <v>120</v>
      </c>
    </row>
    <row r="5" spans="1:4">
      <c r="A5" s="4" t="s">
        <v>282</v>
      </c>
      <c r="B5" s="23">
        <v>153</v>
      </c>
      <c r="C5" s="23">
        <v>212</v>
      </c>
      <c r="D5" s="23">
        <f>SUM(B5:C5)</f>
        <v>365</v>
      </c>
    </row>
    <row r="6" spans="1:4">
      <c r="A6" s="4" t="s">
        <v>154</v>
      </c>
      <c r="B6" s="85">
        <v>0.7</v>
      </c>
      <c r="C6" s="85">
        <v>0.4</v>
      </c>
      <c r="D6" s="86">
        <f>D7/(D4*D5)</f>
        <v>0.52575342465753427</v>
      </c>
    </row>
    <row r="7" spans="1:4" s="3" customFormat="1" ht="15">
      <c r="A7" s="3" t="s">
        <v>155</v>
      </c>
      <c r="B7" s="87">
        <f>B4*B5*B6</f>
        <v>12852</v>
      </c>
      <c r="C7" s="87">
        <f>C4*C5*C6</f>
        <v>10176</v>
      </c>
      <c r="D7" s="88">
        <f>SUM(B7:C7)</f>
        <v>23028</v>
      </c>
    </row>
    <row r="8" spans="1:4">
      <c r="A8" s="4" t="s">
        <v>262</v>
      </c>
      <c r="B8" s="85">
        <v>0.8</v>
      </c>
      <c r="C8" s="85">
        <v>0.5</v>
      </c>
      <c r="D8" s="85">
        <f>(D9/D7)-100%</f>
        <v>0.66743095362167781</v>
      </c>
    </row>
    <row r="9" spans="1:4">
      <c r="A9" s="4" t="s">
        <v>419</v>
      </c>
      <c r="B9" s="22">
        <f>B7+(B8*B7)</f>
        <v>23133.599999999999</v>
      </c>
      <c r="C9" s="22">
        <f>C7+(C8*C7)</f>
        <v>15264</v>
      </c>
      <c r="D9" s="22">
        <f>SUM(B9:C9)</f>
        <v>38397.599999999999</v>
      </c>
    </row>
    <row r="10" spans="1:4" s="3" customFormat="1" ht="15">
      <c r="A10" s="3" t="s">
        <v>285</v>
      </c>
      <c r="B10" s="28">
        <f>70%*B9</f>
        <v>16193.519999999999</v>
      </c>
      <c r="C10" s="28">
        <f t="shared" ref="C10:D10" si="0">70%*C9</f>
        <v>10684.8</v>
      </c>
      <c r="D10" s="28">
        <f t="shared" si="0"/>
        <v>26878.319999999996</v>
      </c>
    </row>
    <row r="11" spans="1:4">
      <c r="A11" s="4" t="s">
        <v>283</v>
      </c>
      <c r="B11" s="29">
        <f>90/1.09</f>
        <v>82.568807339449535</v>
      </c>
      <c r="C11" s="29">
        <f>75/1.09</f>
        <v>68.807339449541274</v>
      </c>
      <c r="D11" s="29">
        <f>75/1.09</f>
        <v>68.807339449541274</v>
      </c>
    </row>
    <row r="12" spans="1:4">
      <c r="A12" s="4" t="s">
        <v>284</v>
      </c>
      <c r="B12" s="29">
        <f>10/1.13</f>
        <v>8.8495575221238951</v>
      </c>
      <c r="C12" s="29">
        <f t="shared" ref="C12:D12" si="1">10/1.13</f>
        <v>8.8495575221238951</v>
      </c>
      <c r="D12" s="29">
        <f t="shared" si="1"/>
        <v>8.8495575221238951</v>
      </c>
    </row>
    <row r="13" spans="1:4">
      <c r="B13" s="89"/>
      <c r="C13" s="89"/>
      <c r="D13" s="78"/>
    </row>
    <row r="14" spans="1:4">
      <c r="B14" s="89"/>
      <c r="C14" s="89"/>
      <c r="D14" s="78"/>
    </row>
    <row r="15" spans="1:4" ht="15">
      <c r="B15" s="65" t="s">
        <v>279</v>
      </c>
      <c r="C15" s="65" t="s">
        <v>280</v>
      </c>
      <c r="D15" s="65" t="s">
        <v>9</v>
      </c>
    </row>
    <row r="16" spans="1:4">
      <c r="A16" s="4" t="s">
        <v>286</v>
      </c>
      <c r="B16" s="22">
        <f>B7*B11</f>
        <v>1061174.3119266054</v>
      </c>
      <c r="C16" s="22">
        <f t="shared" ref="C16" si="2">C7*C11</f>
        <v>700183.486238532</v>
      </c>
      <c r="D16" s="22">
        <f>SUM(B16:C16)</f>
        <v>1761357.7981651374</v>
      </c>
    </row>
    <row r="17" spans="1:5">
      <c r="A17" s="4" t="s">
        <v>287</v>
      </c>
      <c r="B17" s="22">
        <f>B10*B12</f>
        <v>143305.48672566374</v>
      </c>
      <c r="C17" s="22">
        <f t="shared" ref="C17" si="3">C10*C12</f>
        <v>94555.752212389387</v>
      </c>
      <c r="D17" s="22">
        <f t="shared" ref="D17:D22" si="4">SUM(B17:C17)</f>
        <v>237861.23893805314</v>
      </c>
    </row>
    <row r="18" spans="1:5" ht="15">
      <c r="A18" s="3" t="s">
        <v>276</v>
      </c>
      <c r="B18" s="28">
        <f>SUM(B16:B17)</f>
        <v>1204479.7986522692</v>
      </c>
      <c r="C18" s="28">
        <f>SUM(C16:C17)</f>
        <v>794739.23845092137</v>
      </c>
      <c r="D18" s="28">
        <f t="shared" si="4"/>
        <v>1999219.0371031906</v>
      </c>
    </row>
    <row r="19" spans="1:5">
      <c r="A19" s="4" t="s">
        <v>288</v>
      </c>
      <c r="B19" s="22">
        <f>40%*B17</f>
        <v>57322.194690265496</v>
      </c>
      <c r="C19" s="22">
        <f t="shared" ref="C19" si="5">40%*C17</f>
        <v>37822.300884955759</v>
      </c>
      <c r="D19" s="22">
        <f t="shared" si="4"/>
        <v>95144.495575221255</v>
      </c>
    </row>
    <row r="20" spans="1:5">
      <c r="A20" s="4" t="s">
        <v>116</v>
      </c>
      <c r="B20" s="22">
        <f>30%*B18</f>
        <v>361343.93959568074</v>
      </c>
      <c r="C20" s="22">
        <f t="shared" ref="C20" si="6">30%*C18</f>
        <v>238421.77153527641</v>
      </c>
      <c r="D20" s="22">
        <f t="shared" si="4"/>
        <v>599765.71113095712</v>
      </c>
    </row>
    <row r="21" spans="1:5">
      <c r="A21" s="4" t="s">
        <v>289</v>
      </c>
      <c r="B21" s="22">
        <f>55%*B18</f>
        <v>662463.88925874815</v>
      </c>
      <c r="C21" s="22">
        <f t="shared" ref="C21:D21" si="7">55%*C18</f>
        <v>437106.58114800678</v>
      </c>
      <c r="D21" s="22">
        <f t="shared" si="7"/>
        <v>1099570.4704067549</v>
      </c>
    </row>
    <row r="22" spans="1:5" ht="15">
      <c r="A22" s="3" t="s">
        <v>77</v>
      </c>
      <c r="B22" s="28">
        <f>B18-B19-B20-B21</f>
        <v>123349.77510757488</v>
      </c>
      <c r="C22" s="28">
        <f t="shared" ref="C22" si="8">C18-C19-C20-C21</f>
        <v>81388.584882682364</v>
      </c>
      <c r="D22" s="28">
        <f t="shared" si="4"/>
        <v>204738.35999025725</v>
      </c>
    </row>
    <row r="24" spans="1:5" ht="15">
      <c r="A24" s="3" t="s">
        <v>421</v>
      </c>
    </row>
    <row r="26" spans="1:5" ht="15">
      <c r="A26" s="91" t="s">
        <v>290</v>
      </c>
      <c r="B26" s="101" t="s">
        <v>291</v>
      </c>
      <c r="C26" s="101" t="s">
        <v>292</v>
      </c>
      <c r="D26" s="101" t="s">
        <v>293</v>
      </c>
      <c r="E26" s="92"/>
    </row>
    <row r="27" spans="1:5">
      <c r="A27" s="90" t="s">
        <v>294</v>
      </c>
      <c r="B27" s="102">
        <v>10</v>
      </c>
      <c r="C27" s="102">
        <v>15</v>
      </c>
      <c r="D27" s="102">
        <f>B27+C27</f>
        <v>25</v>
      </c>
      <c r="E27" s="92"/>
    </row>
    <row r="28" spans="1:5">
      <c r="A28" s="90" t="s">
        <v>102</v>
      </c>
      <c r="B28" s="103">
        <v>0.65</v>
      </c>
      <c r="C28" s="103">
        <v>0.65</v>
      </c>
      <c r="D28" s="103">
        <v>0.65</v>
      </c>
      <c r="E28" s="92"/>
    </row>
    <row r="29" spans="1:5">
      <c r="A29" s="90" t="s">
        <v>295</v>
      </c>
      <c r="B29" s="102">
        <v>182</v>
      </c>
      <c r="C29" s="102">
        <v>182</v>
      </c>
      <c r="D29" s="102">
        <v>182</v>
      </c>
      <c r="E29" s="92"/>
    </row>
    <row r="30" spans="1:5">
      <c r="A30" s="90" t="s">
        <v>100</v>
      </c>
      <c r="B30" s="110">
        <f>B27*B28*B29</f>
        <v>1183</v>
      </c>
      <c r="C30" s="105">
        <f>C27*C28*C29</f>
        <v>1774.5</v>
      </c>
      <c r="D30" s="105">
        <f>SUM(B30:C30)</f>
        <v>2957.5</v>
      </c>
      <c r="E30" s="92"/>
    </row>
    <row r="31" spans="1:5">
      <c r="B31" s="92"/>
      <c r="C31" s="92"/>
      <c r="D31" s="92"/>
      <c r="E31" s="92"/>
    </row>
    <row r="32" spans="1:5" ht="15">
      <c r="A32" s="91" t="s">
        <v>296</v>
      </c>
      <c r="B32" s="101" t="s">
        <v>291</v>
      </c>
      <c r="C32" s="101" t="s">
        <v>292</v>
      </c>
      <c r="D32" s="101" t="s">
        <v>293</v>
      </c>
      <c r="E32" s="92"/>
    </row>
    <row r="33" spans="1:5">
      <c r="A33" s="90" t="s">
        <v>294</v>
      </c>
      <c r="B33" s="102">
        <v>15</v>
      </c>
      <c r="C33" s="102">
        <v>30</v>
      </c>
      <c r="D33" s="102">
        <f>B33+C33</f>
        <v>45</v>
      </c>
      <c r="E33" s="92"/>
    </row>
    <row r="34" spans="1:5">
      <c r="A34" s="90" t="s">
        <v>102</v>
      </c>
      <c r="B34" s="103">
        <v>0.65</v>
      </c>
      <c r="C34" s="103">
        <v>0.65</v>
      </c>
      <c r="D34" s="103">
        <v>0.65</v>
      </c>
      <c r="E34" s="92"/>
    </row>
    <row r="35" spans="1:5">
      <c r="A35" s="90" t="s">
        <v>295</v>
      </c>
      <c r="B35" s="102">
        <v>184</v>
      </c>
      <c r="C35" s="102">
        <v>184</v>
      </c>
      <c r="D35" s="102">
        <v>184</v>
      </c>
      <c r="E35" s="92"/>
    </row>
    <row r="36" spans="1:5">
      <c r="A36" s="90" t="s">
        <v>100</v>
      </c>
      <c r="B36" s="102">
        <f>B33*B34*B35</f>
        <v>1794</v>
      </c>
      <c r="C36" s="102">
        <f>C33*C34*C35</f>
        <v>3588</v>
      </c>
      <c r="D36" s="102">
        <f>SUM(B36:C36)</f>
        <v>5382</v>
      </c>
      <c r="E36" s="93"/>
    </row>
    <row r="37" spans="1:5">
      <c r="A37" s="90"/>
      <c r="B37" s="108"/>
      <c r="C37" s="108"/>
      <c r="D37" s="108"/>
      <c r="E37" s="93"/>
    </row>
    <row r="38" spans="1:5">
      <c r="A38" s="90" t="s">
        <v>298</v>
      </c>
      <c r="B38" s="102">
        <f>B30+B36</f>
        <v>2977</v>
      </c>
      <c r="C38" s="102">
        <f>C30+C36</f>
        <v>5362.5</v>
      </c>
      <c r="D38" s="102">
        <f>D30+D36</f>
        <v>8339.5</v>
      </c>
      <c r="E38" s="93"/>
    </row>
    <row r="39" spans="1:5">
      <c r="A39" s="90" t="s">
        <v>297</v>
      </c>
      <c r="B39" s="102">
        <f>B34*1</f>
        <v>0.65</v>
      </c>
      <c r="C39" s="102">
        <v>2</v>
      </c>
      <c r="D39" s="102"/>
      <c r="E39" s="92"/>
    </row>
    <row r="40" spans="1:5">
      <c r="A40" s="90" t="s">
        <v>299</v>
      </c>
      <c r="B40" s="102">
        <f>B38*B39</f>
        <v>1935.05</v>
      </c>
      <c r="C40" s="102">
        <f>C38*C39</f>
        <v>10725</v>
      </c>
      <c r="D40" s="102">
        <f>SUM(B40:C40)</f>
        <v>12660.05</v>
      </c>
      <c r="E40" s="92"/>
    </row>
    <row r="41" spans="1:5">
      <c r="A41" s="90" t="s">
        <v>307</v>
      </c>
      <c r="B41" s="109">
        <v>0.8</v>
      </c>
      <c r="C41" s="109">
        <v>0.7</v>
      </c>
      <c r="D41" s="104"/>
      <c r="E41" s="93"/>
    </row>
    <row r="42" spans="1:5">
      <c r="A42" s="90" t="s">
        <v>300</v>
      </c>
      <c r="B42" s="105">
        <f>B40*B41</f>
        <v>1548.04</v>
      </c>
      <c r="C42" s="105">
        <f>C40*C41</f>
        <v>7507.4999999999991</v>
      </c>
      <c r="D42" s="105">
        <f>SUM(B42:C42)</f>
        <v>9055.5399999999991</v>
      </c>
      <c r="E42" s="93"/>
    </row>
    <row r="43" spans="1:5">
      <c r="A43" s="90" t="s">
        <v>283</v>
      </c>
      <c r="B43" s="106">
        <f>95/1.09</f>
        <v>87.155963302752284</v>
      </c>
      <c r="C43" s="106">
        <f>125/1.09</f>
        <v>114.6788990825688</v>
      </c>
      <c r="D43" s="107"/>
      <c r="E43" s="95"/>
    </row>
    <row r="44" spans="1:5">
      <c r="A44" s="90" t="s">
        <v>284</v>
      </c>
      <c r="B44" s="106">
        <f>12/1.13</f>
        <v>10.619469026548673</v>
      </c>
      <c r="C44" s="106">
        <f>12/1.13</f>
        <v>10.619469026548673</v>
      </c>
      <c r="D44" s="107"/>
      <c r="E44" s="95"/>
    </row>
    <row r="45" spans="1:5">
      <c r="A45" s="96"/>
      <c r="B45" s="96"/>
      <c r="C45" s="96"/>
      <c r="D45" s="96"/>
      <c r="E45" s="96"/>
    </row>
    <row r="46" spans="1:5" ht="15">
      <c r="A46" s="96"/>
      <c r="B46" s="101" t="s">
        <v>291</v>
      </c>
      <c r="C46" s="101" t="s">
        <v>292</v>
      </c>
      <c r="D46" s="101" t="s">
        <v>293</v>
      </c>
      <c r="E46" s="96"/>
    </row>
    <row r="47" spans="1:5">
      <c r="A47" s="90" t="s">
        <v>301</v>
      </c>
      <c r="B47" s="105">
        <f>B38*B43</f>
        <v>259463.30275229356</v>
      </c>
      <c r="C47" s="105">
        <f>C38*C43</f>
        <v>614965.59633027518</v>
      </c>
      <c r="D47" s="105">
        <f>SUM(B47:C47)</f>
        <v>874428.89908256871</v>
      </c>
      <c r="E47" s="92"/>
    </row>
    <row r="48" spans="1:5">
      <c r="A48" s="90" t="s">
        <v>302</v>
      </c>
      <c r="B48" s="105">
        <f>B42*B44</f>
        <v>16439.362831858409</v>
      </c>
      <c r="C48" s="105">
        <f>C42*C44</f>
        <v>79725.663716814161</v>
      </c>
      <c r="D48" s="105">
        <f>SUM(B48:C48)</f>
        <v>96165.026548672569</v>
      </c>
      <c r="E48" s="92"/>
    </row>
    <row r="49" spans="1:5" s="3" customFormat="1" ht="15">
      <c r="A49" s="91" t="s">
        <v>303</v>
      </c>
      <c r="B49" s="111">
        <f>SUM(B47:B48)</f>
        <v>275902.66558415198</v>
      </c>
      <c r="C49" s="111">
        <f t="shared" ref="C49:D49" si="9">SUM(C47:C48)</f>
        <v>694691.26004708931</v>
      </c>
      <c r="D49" s="111">
        <f t="shared" si="9"/>
        <v>970593.92563124129</v>
      </c>
      <c r="E49" s="97"/>
    </row>
    <row r="50" spans="1:5">
      <c r="A50" s="90" t="s">
        <v>304</v>
      </c>
      <c r="B50" s="94"/>
      <c r="C50" s="94"/>
      <c r="D50" s="105">
        <f>35%*D48</f>
        <v>33657.7592920354</v>
      </c>
      <c r="E50" s="92"/>
    </row>
    <row r="51" spans="1:5">
      <c r="A51" s="90" t="s">
        <v>305</v>
      </c>
      <c r="B51" s="8"/>
      <c r="C51" s="8"/>
      <c r="D51" s="22">
        <f>70%*D47</f>
        <v>612100.229357798</v>
      </c>
      <c r="E51" s="8"/>
    </row>
    <row r="52" spans="1:5">
      <c r="A52" s="4" t="s">
        <v>306</v>
      </c>
      <c r="B52" s="8"/>
      <c r="C52" s="8"/>
      <c r="D52" s="22">
        <v>250000</v>
      </c>
      <c r="E52" s="8"/>
    </row>
    <row r="53" spans="1:5" s="3" customFormat="1" ht="15">
      <c r="A53" s="3" t="s">
        <v>308</v>
      </c>
      <c r="B53" s="30"/>
      <c r="C53" s="30"/>
      <c r="D53" s="28">
        <f>D49-D50-D51-D52</f>
        <v>74835.936981407925</v>
      </c>
    </row>
    <row r="55" spans="1:5" ht="15">
      <c r="A55" s="3" t="s">
        <v>422</v>
      </c>
      <c r="C55" s="55"/>
    </row>
    <row r="56" spans="1:5" ht="15">
      <c r="A56" s="3"/>
      <c r="C56" s="55"/>
    </row>
    <row r="57" spans="1:5" ht="15">
      <c r="B57" s="65" t="s">
        <v>423</v>
      </c>
      <c r="C57" s="65" t="s">
        <v>309</v>
      </c>
      <c r="D57" s="112" t="s">
        <v>268</v>
      </c>
      <c r="E57" s="65" t="s">
        <v>312</v>
      </c>
    </row>
    <row r="58" spans="1:5">
      <c r="A58" s="4" t="s">
        <v>238</v>
      </c>
      <c r="B58" s="113">
        <v>140</v>
      </c>
      <c r="C58" s="114">
        <f>70%*B58</f>
        <v>98</v>
      </c>
      <c r="D58" s="114">
        <f>B58-C58</f>
        <v>42</v>
      </c>
      <c r="E58" s="114">
        <f>D58</f>
        <v>42</v>
      </c>
    </row>
    <row r="59" spans="1:5">
      <c r="A59" s="4" t="s">
        <v>239</v>
      </c>
      <c r="B59" s="113">
        <v>170</v>
      </c>
      <c r="C59" s="114">
        <f>70%*B59</f>
        <v>118.99999999999999</v>
      </c>
      <c r="D59" s="114">
        <f>B59-C59</f>
        <v>51.000000000000014</v>
      </c>
      <c r="E59" s="114">
        <f t="shared" ref="E59:E64" si="10">D59</f>
        <v>51.000000000000014</v>
      </c>
    </row>
    <row r="60" spans="1:5">
      <c r="A60" s="4" t="s">
        <v>240</v>
      </c>
      <c r="B60" s="113">
        <v>200</v>
      </c>
      <c r="C60" s="114">
        <f>70%*B60</f>
        <v>140</v>
      </c>
      <c r="D60" s="114">
        <f>B60-C60</f>
        <v>60</v>
      </c>
      <c r="E60" s="114">
        <f t="shared" si="10"/>
        <v>60</v>
      </c>
    </row>
    <row r="61" spans="1:5">
      <c r="A61" s="4" t="s">
        <v>241</v>
      </c>
      <c r="B61" s="113">
        <v>180</v>
      </c>
      <c r="C61" s="114">
        <f>70%*B61</f>
        <v>125.99999999999999</v>
      </c>
      <c r="D61" s="114">
        <f>B61-C61</f>
        <v>54.000000000000014</v>
      </c>
      <c r="E61" s="114">
        <f t="shared" si="10"/>
        <v>54.000000000000014</v>
      </c>
    </row>
    <row r="62" spans="1:5">
      <c r="A62" s="4" t="s">
        <v>242</v>
      </c>
      <c r="B62" s="113">
        <v>250</v>
      </c>
      <c r="C62" s="114">
        <f>70%*B62</f>
        <v>175</v>
      </c>
      <c r="D62" s="114">
        <f>B62-C62</f>
        <v>75</v>
      </c>
      <c r="E62" s="114">
        <f t="shared" si="10"/>
        <v>75</v>
      </c>
    </row>
    <row r="63" spans="1:5">
      <c r="A63" s="4" t="s">
        <v>243</v>
      </c>
      <c r="B63" s="113">
        <v>220</v>
      </c>
      <c r="C63" s="115"/>
      <c r="D63" s="113">
        <v>220</v>
      </c>
      <c r="E63" s="114">
        <f t="shared" si="10"/>
        <v>220</v>
      </c>
    </row>
    <row r="64" spans="1:5">
      <c r="A64" s="4" t="s">
        <v>244</v>
      </c>
      <c r="B64" s="113">
        <v>160</v>
      </c>
      <c r="C64" s="115"/>
      <c r="D64" s="113">
        <v>160</v>
      </c>
      <c r="E64" s="114">
        <f t="shared" si="10"/>
        <v>160</v>
      </c>
    </row>
    <row r="65" spans="1:6" ht="15">
      <c r="A65" s="3" t="s">
        <v>9</v>
      </c>
      <c r="B65" s="116">
        <f>SUM(B58:B64)</f>
        <v>1320</v>
      </c>
      <c r="C65" s="116">
        <f>SUM(C58:C64)</f>
        <v>658</v>
      </c>
      <c r="D65" s="116">
        <f>SUM(D58:D64)</f>
        <v>662</v>
      </c>
      <c r="E65" s="116">
        <f>SUM(E58:E64)</f>
        <v>662</v>
      </c>
      <c r="F65" s="3"/>
    </row>
    <row r="66" spans="1:6">
      <c r="B66" s="37"/>
      <c r="C66" s="100"/>
      <c r="D66" s="37"/>
    </row>
    <row r="67" spans="1:6">
      <c r="B67" s="37"/>
      <c r="C67" s="100"/>
      <c r="D67" s="37"/>
    </row>
    <row r="68" spans="1:6" ht="15">
      <c r="B68" s="65" t="s">
        <v>309</v>
      </c>
      <c r="C68" s="112" t="s">
        <v>268</v>
      </c>
      <c r="D68" s="65" t="s">
        <v>312</v>
      </c>
      <c r="E68" s="65" t="s">
        <v>9</v>
      </c>
      <c r="F68" s="113" t="s">
        <v>122</v>
      </c>
    </row>
    <row r="69" spans="1:6">
      <c r="A69" s="4" t="s">
        <v>310</v>
      </c>
      <c r="B69" s="115">
        <v>19</v>
      </c>
      <c r="C69" s="115">
        <v>26</v>
      </c>
      <c r="D69" s="115">
        <v>12</v>
      </c>
      <c r="E69" s="23"/>
      <c r="F69" s="113"/>
    </row>
    <row r="70" spans="1:6" ht="15">
      <c r="A70" s="4" t="s">
        <v>1</v>
      </c>
      <c r="B70" s="117">
        <f>B69*C65</f>
        <v>12502</v>
      </c>
      <c r="C70" s="117">
        <f>C69*D65</f>
        <v>17212</v>
      </c>
      <c r="D70" s="117">
        <f>D69*E65</f>
        <v>7944</v>
      </c>
      <c r="E70" s="22">
        <f t="shared" ref="E70:E75" si="11">SUM(B70:D70)</f>
        <v>37658</v>
      </c>
      <c r="F70" s="84">
        <f t="shared" ref="F70:F74" si="12">E70/$E$71</f>
        <v>1.1497182467456297</v>
      </c>
    </row>
    <row r="71" spans="1:6" ht="15">
      <c r="A71" s="3" t="s">
        <v>2</v>
      </c>
      <c r="B71" s="118">
        <f>B70/1.13</f>
        <v>11063.716814159294</v>
      </c>
      <c r="C71" s="118">
        <f>C70/1.13</f>
        <v>15231.858407079648</v>
      </c>
      <c r="D71" s="118">
        <f>D70/1.23</f>
        <v>6458.5365853658541</v>
      </c>
      <c r="E71" s="28">
        <f t="shared" si="11"/>
        <v>32754.111806604797</v>
      </c>
      <c r="F71" s="84">
        <f t="shared" si="12"/>
        <v>1</v>
      </c>
    </row>
    <row r="72" spans="1:6" ht="15">
      <c r="A72" s="4" t="s">
        <v>3</v>
      </c>
      <c r="B72" s="117">
        <f>32%*B71</f>
        <v>3540.389380530974</v>
      </c>
      <c r="C72" s="117">
        <f>28%*C71</f>
        <v>4264.920353982302</v>
      </c>
      <c r="D72" s="117">
        <f>25%*D71</f>
        <v>1614.6341463414635</v>
      </c>
      <c r="E72" s="22">
        <f t="shared" si="11"/>
        <v>9419.9438808547384</v>
      </c>
      <c r="F72" s="84">
        <f t="shared" si="12"/>
        <v>0.28759576618881866</v>
      </c>
    </row>
    <row r="73" spans="1:6" ht="15">
      <c r="A73" s="3" t="s">
        <v>4</v>
      </c>
      <c r="B73" s="118">
        <f>B71-B72</f>
        <v>7523.3274336283193</v>
      </c>
      <c r="C73" s="118">
        <f>C71-C72</f>
        <v>10966.938053097347</v>
      </c>
      <c r="D73" s="118">
        <f>D71-D72</f>
        <v>4843.9024390243903</v>
      </c>
      <c r="E73" s="28">
        <f t="shared" si="11"/>
        <v>23334.167925750055</v>
      </c>
      <c r="F73" s="84">
        <f t="shared" si="12"/>
        <v>0.71240423381118123</v>
      </c>
    </row>
    <row r="74" spans="1:6" ht="15">
      <c r="A74" s="4" t="s">
        <v>116</v>
      </c>
      <c r="B74" s="117">
        <f>30%*B71</f>
        <v>3319.1150442477879</v>
      </c>
      <c r="C74" s="117">
        <f t="shared" ref="C74:D74" si="13">30%*C71</f>
        <v>4569.5575221238942</v>
      </c>
      <c r="D74" s="117">
        <f t="shared" si="13"/>
        <v>1937.560975609756</v>
      </c>
      <c r="E74" s="22">
        <f t="shared" si="11"/>
        <v>9826.233541981439</v>
      </c>
      <c r="F74" s="84">
        <f t="shared" si="12"/>
        <v>0.3</v>
      </c>
    </row>
    <row r="75" spans="1:6" ht="15">
      <c r="A75" s="3" t="s">
        <v>70</v>
      </c>
      <c r="B75" s="118">
        <f>B73-B74</f>
        <v>4204.212389380531</v>
      </c>
      <c r="C75" s="118">
        <f>C73-C74</f>
        <v>6397.3805309734526</v>
      </c>
      <c r="D75" s="118">
        <f>D73-D74</f>
        <v>2906.3414634146343</v>
      </c>
      <c r="E75" s="28">
        <f t="shared" si="11"/>
        <v>13507.934383768617</v>
      </c>
      <c r="F75" s="84">
        <f>E75/$E$71</f>
        <v>0.41240423381118124</v>
      </c>
    </row>
    <row r="76" spans="1:6">
      <c r="B76" s="37"/>
      <c r="C76" s="100"/>
      <c r="D76" s="37"/>
    </row>
    <row r="77" spans="1:6">
      <c r="A77" s="4" t="s">
        <v>178</v>
      </c>
      <c r="B77" s="99">
        <f>E74/21</f>
        <v>467.91588295149711</v>
      </c>
      <c r="C77" s="119" t="s">
        <v>217</v>
      </c>
      <c r="D77" s="37"/>
    </row>
    <row r="78" spans="1:6" ht="15">
      <c r="A78" s="4" t="s">
        <v>311</v>
      </c>
      <c r="B78" s="98">
        <f>E70/B77</f>
        <v>80.480277272194087</v>
      </c>
      <c r="C78" s="119" t="s">
        <v>424</v>
      </c>
      <c r="D78" s="37"/>
    </row>
    <row r="80" spans="1:6" ht="15">
      <c r="A80" s="3" t="s">
        <v>425</v>
      </c>
    </row>
    <row r="81" spans="1:8" ht="15">
      <c r="A81" s="23"/>
      <c r="B81" s="65" t="s">
        <v>313</v>
      </c>
      <c r="C81" s="65" t="s">
        <v>314</v>
      </c>
      <c r="D81" s="65" t="s">
        <v>315</v>
      </c>
      <c r="E81" s="65" t="s">
        <v>316</v>
      </c>
      <c r="F81" s="65" t="s">
        <v>317</v>
      </c>
      <c r="G81" s="65" t="s">
        <v>7</v>
      </c>
      <c r="H81" s="78"/>
    </row>
    <row r="82" spans="1:8">
      <c r="A82" s="23" t="s">
        <v>175</v>
      </c>
      <c r="B82" s="113">
        <v>31</v>
      </c>
      <c r="C82" s="113">
        <v>30</v>
      </c>
      <c r="D82" s="113">
        <v>31</v>
      </c>
      <c r="E82" s="113">
        <v>31</v>
      </c>
      <c r="F82" s="113">
        <v>30</v>
      </c>
      <c r="G82" s="113">
        <f>SUM(B82:F82)</f>
        <v>153</v>
      </c>
      <c r="H82" s="78"/>
    </row>
    <row r="83" spans="1:8">
      <c r="A83" s="23" t="s">
        <v>318</v>
      </c>
      <c r="B83" s="120">
        <v>70</v>
      </c>
      <c r="C83" s="120">
        <v>95</v>
      </c>
      <c r="D83" s="120">
        <v>120</v>
      </c>
      <c r="E83" s="120">
        <v>80</v>
      </c>
      <c r="F83" s="120">
        <v>60</v>
      </c>
      <c r="G83" s="23"/>
      <c r="H83" s="78"/>
    </row>
    <row r="84" spans="1:8">
      <c r="A84" s="23" t="s">
        <v>426</v>
      </c>
      <c r="B84" s="113">
        <f>B82*B83</f>
        <v>2170</v>
      </c>
      <c r="C84" s="113">
        <f>C82*C83</f>
        <v>2850</v>
      </c>
      <c r="D84" s="113">
        <f>D82*D83</f>
        <v>3720</v>
      </c>
      <c r="E84" s="113">
        <f>E82*E83</f>
        <v>2480</v>
      </c>
      <c r="F84" s="113">
        <f>F82*F83</f>
        <v>1800</v>
      </c>
      <c r="G84" s="113">
        <f>SUM(B84:F84)</f>
        <v>13020</v>
      </c>
      <c r="H84" s="78"/>
    </row>
    <row r="85" spans="1:8">
      <c r="A85" s="23" t="s">
        <v>319</v>
      </c>
      <c r="B85" s="113">
        <f>40%*B84</f>
        <v>868</v>
      </c>
      <c r="C85" s="113">
        <f>40%*C84</f>
        <v>1140</v>
      </c>
      <c r="D85" s="113">
        <f>40%*D84</f>
        <v>1488</v>
      </c>
      <c r="E85" s="113">
        <f>40%*E84</f>
        <v>992</v>
      </c>
      <c r="F85" s="113">
        <f>40%*F84</f>
        <v>720</v>
      </c>
      <c r="G85" s="113">
        <f>SUM(B85:F85)</f>
        <v>5208</v>
      </c>
      <c r="H85" s="78"/>
    </row>
    <row r="86" spans="1:8">
      <c r="A86" s="23" t="s">
        <v>320</v>
      </c>
      <c r="B86" s="113">
        <f>60%*B84</f>
        <v>1302</v>
      </c>
      <c r="C86" s="113">
        <f>60%*C84</f>
        <v>1710</v>
      </c>
      <c r="D86" s="113">
        <f>60%*D84</f>
        <v>2232</v>
      </c>
      <c r="E86" s="113">
        <f>60%*E84</f>
        <v>1488</v>
      </c>
      <c r="F86" s="113">
        <f>60%*F84</f>
        <v>1080</v>
      </c>
      <c r="G86" s="113">
        <f>SUM(B86:F86)</f>
        <v>7812</v>
      </c>
      <c r="H86" s="78"/>
    </row>
    <row r="87" spans="1:8">
      <c r="A87" s="23" t="s">
        <v>321</v>
      </c>
      <c r="B87" s="121">
        <f>16/1.13</f>
        <v>14.159292035398231</v>
      </c>
      <c r="C87" s="121">
        <f t="shared" ref="C87:F87" si="14">16/1.13</f>
        <v>14.159292035398231</v>
      </c>
      <c r="D87" s="121">
        <f t="shared" si="14"/>
        <v>14.159292035398231</v>
      </c>
      <c r="E87" s="121">
        <f t="shared" si="14"/>
        <v>14.159292035398231</v>
      </c>
      <c r="F87" s="121">
        <f t="shared" si="14"/>
        <v>14.159292035398231</v>
      </c>
      <c r="G87" s="23"/>
      <c r="H87" s="78"/>
    </row>
    <row r="88" spans="1:8">
      <c r="A88" s="23" t="s">
        <v>322</v>
      </c>
      <c r="B88" s="121">
        <f>28/1.13</f>
        <v>24.778761061946906</v>
      </c>
      <c r="C88" s="121">
        <f t="shared" ref="C88:F88" si="15">28/1.13</f>
        <v>24.778761061946906</v>
      </c>
      <c r="D88" s="121">
        <f t="shared" si="15"/>
        <v>24.778761061946906</v>
      </c>
      <c r="E88" s="121">
        <f t="shared" si="15"/>
        <v>24.778761061946906</v>
      </c>
      <c r="F88" s="121">
        <f t="shared" si="15"/>
        <v>24.778761061946906</v>
      </c>
      <c r="G88" s="23"/>
      <c r="H88" s="78"/>
    </row>
    <row r="89" spans="1:8">
      <c r="A89" s="23" t="s">
        <v>427</v>
      </c>
      <c r="B89" s="121">
        <f>14/1.23</f>
        <v>11.382113821138212</v>
      </c>
      <c r="C89" s="121">
        <f t="shared" ref="C89:F89" si="16">14/1.23</f>
        <v>11.382113821138212</v>
      </c>
      <c r="D89" s="121">
        <f t="shared" si="16"/>
        <v>11.382113821138212</v>
      </c>
      <c r="E89" s="121">
        <f t="shared" si="16"/>
        <v>11.382113821138212</v>
      </c>
      <c r="F89" s="121">
        <f t="shared" si="16"/>
        <v>11.382113821138212</v>
      </c>
      <c r="G89" s="23"/>
      <c r="H89" s="78"/>
    </row>
    <row r="90" spans="1:8">
      <c r="A90" s="23" t="s">
        <v>428</v>
      </c>
      <c r="B90" s="114">
        <f t="shared" ref="B90:F91" si="17">B85*B87</f>
        <v>12290.265486725664</v>
      </c>
      <c r="C90" s="114">
        <f t="shared" si="17"/>
        <v>16141.592920353984</v>
      </c>
      <c r="D90" s="114">
        <f t="shared" si="17"/>
        <v>21069.026548672566</v>
      </c>
      <c r="E90" s="114">
        <f t="shared" si="17"/>
        <v>14046.017699115046</v>
      </c>
      <c r="F90" s="114">
        <f t="shared" si="17"/>
        <v>10194.690265486726</v>
      </c>
      <c r="G90" s="114">
        <f>SUM(B90:F90)</f>
        <v>73741.592920353985</v>
      </c>
      <c r="H90" s="78"/>
    </row>
    <row r="91" spans="1:8">
      <c r="A91" s="23" t="s">
        <v>429</v>
      </c>
      <c r="B91" s="114">
        <f t="shared" si="17"/>
        <v>32261.946902654872</v>
      </c>
      <c r="C91" s="114">
        <f t="shared" si="17"/>
        <v>42371.681415929212</v>
      </c>
      <c r="D91" s="114">
        <f t="shared" si="17"/>
        <v>55306.194690265496</v>
      </c>
      <c r="E91" s="114">
        <f t="shared" si="17"/>
        <v>36870.796460176993</v>
      </c>
      <c r="F91" s="114">
        <f t="shared" si="17"/>
        <v>26761.061946902657</v>
      </c>
      <c r="G91" s="114">
        <f>SUM(B91:F91)</f>
        <v>193571.68141592923</v>
      </c>
      <c r="H91" s="78"/>
    </row>
    <row r="92" spans="1:8">
      <c r="A92" s="23" t="s">
        <v>430</v>
      </c>
      <c r="B92" s="114">
        <f>B84*B89</f>
        <v>24699.186991869919</v>
      </c>
      <c r="C92" s="114">
        <f>C84*C89</f>
        <v>32439.024390243903</v>
      </c>
      <c r="D92" s="114">
        <f>D84*D89</f>
        <v>42341.463414634149</v>
      </c>
      <c r="E92" s="114">
        <f>E84*E89</f>
        <v>28227.642276422765</v>
      </c>
      <c r="F92" s="114">
        <f>F84*F89</f>
        <v>20487.804878048781</v>
      </c>
      <c r="G92" s="114">
        <f>SUM(B92:F92)</f>
        <v>148195.12195121951</v>
      </c>
      <c r="H92" s="78"/>
    </row>
    <row r="93" spans="1:8">
      <c r="A93" s="78"/>
      <c r="B93" s="122"/>
      <c r="C93" s="122"/>
      <c r="D93" s="122"/>
      <c r="E93" s="122"/>
      <c r="F93" s="122"/>
      <c r="G93" s="122"/>
      <c r="H93" s="78"/>
    </row>
    <row r="94" spans="1:8" ht="15">
      <c r="A94" s="78"/>
      <c r="B94" s="78"/>
      <c r="C94" s="78"/>
      <c r="D94" s="78"/>
      <c r="E94" s="78"/>
      <c r="F94" s="78"/>
      <c r="G94" s="78"/>
      <c r="H94" s="65" t="s">
        <v>122</v>
      </c>
    </row>
    <row r="95" spans="1:8" ht="15">
      <c r="A95" s="27" t="s">
        <v>2</v>
      </c>
      <c r="B95" s="28">
        <f t="shared" ref="B95:F95" si="18">B90+B91+B92</f>
        <v>69251.399381250463</v>
      </c>
      <c r="C95" s="28">
        <f t="shared" si="18"/>
        <v>90952.298726527108</v>
      </c>
      <c r="D95" s="28">
        <f t="shared" si="18"/>
        <v>118716.68465357221</v>
      </c>
      <c r="E95" s="28">
        <f t="shared" si="18"/>
        <v>79144.456435714805</v>
      </c>
      <c r="F95" s="28">
        <f t="shared" si="18"/>
        <v>57443.557090438168</v>
      </c>
      <c r="G95" s="28">
        <f>SUM(B95:F95)</f>
        <v>415508.39628750272</v>
      </c>
      <c r="H95" s="84">
        <f t="shared" ref="H95:H103" si="19">G95/$G$95</f>
        <v>1</v>
      </c>
    </row>
    <row r="96" spans="1:8">
      <c r="A96" s="23" t="s">
        <v>3</v>
      </c>
      <c r="B96" s="22">
        <f>35%*B90+32%*B91+28%*B92</f>
        <v>21541.188286927121</v>
      </c>
      <c r="C96" s="22">
        <f t="shared" ref="C96:F96" si="20">35%*C90+32%*C91+28%*C92</f>
        <v>28291.422404489535</v>
      </c>
      <c r="D96" s="22">
        <f t="shared" si="20"/>
        <v>36927.751349017919</v>
      </c>
      <c r="E96" s="22">
        <f t="shared" si="20"/>
        <v>24618.500899345279</v>
      </c>
      <c r="F96" s="22">
        <f t="shared" si="20"/>
        <v>17868.266781782862</v>
      </c>
      <c r="G96" s="22">
        <f>SUM(B96:F96)</f>
        <v>129247.12972156273</v>
      </c>
      <c r="H96" s="24">
        <f t="shared" si="19"/>
        <v>0.31105780503201375</v>
      </c>
    </row>
    <row r="97" spans="1:9" ht="15">
      <c r="A97" s="27" t="s">
        <v>4</v>
      </c>
      <c r="B97" s="28">
        <f t="shared" ref="B97:F97" si="21">B95-B96</f>
        <v>47710.211094323342</v>
      </c>
      <c r="C97" s="28">
        <f t="shared" si="21"/>
        <v>62660.876322037569</v>
      </c>
      <c r="D97" s="28">
        <f t="shared" si="21"/>
        <v>81788.933304554288</v>
      </c>
      <c r="E97" s="28">
        <f t="shared" si="21"/>
        <v>54525.955536369525</v>
      </c>
      <c r="F97" s="28">
        <f t="shared" si="21"/>
        <v>39575.290308655305</v>
      </c>
      <c r="G97" s="28">
        <f>SUM(B97:F97)</f>
        <v>286261.26656594005</v>
      </c>
      <c r="H97" s="84">
        <f t="shared" si="19"/>
        <v>0.68894219496798637</v>
      </c>
    </row>
    <row r="98" spans="1:9">
      <c r="A98" s="23" t="s">
        <v>116</v>
      </c>
      <c r="B98" s="22">
        <f t="shared" ref="B98:F98" si="22">30%*B95</f>
        <v>20775.419814375138</v>
      </c>
      <c r="C98" s="22">
        <f t="shared" si="22"/>
        <v>27285.689617958131</v>
      </c>
      <c r="D98" s="22">
        <f t="shared" si="22"/>
        <v>35615.005396071661</v>
      </c>
      <c r="E98" s="22">
        <f t="shared" si="22"/>
        <v>23743.336930714442</v>
      </c>
      <c r="F98" s="22">
        <f t="shared" si="22"/>
        <v>17233.06712713145</v>
      </c>
      <c r="G98" s="22">
        <f>SUM(B98:F98)</f>
        <v>124652.51888625082</v>
      </c>
      <c r="H98" s="24">
        <f t="shared" si="19"/>
        <v>0.3</v>
      </c>
    </row>
    <row r="99" spans="1:9" ht="15">
      <c r="A99" s="27" t="s">
        <v>70</v>
      </c>
      <c r="B99" s="28">
        <f t="shared" ref="B99:F99" si="23">B97-B98</f>
        <v>26934.791279948204</v>
      </c>
      <c r="C99" s="28">
        <f t="shared" si="23"/>
        <v>35375.186704079439</v>
      </c>
      <c r="D99" s="28">
        <f t="shared" si="23"/>
        <v>46173.927908482627</v>
      </c>
      <c r="E99" s="28">
        <f t="shared" si="23"/>
        <v>30782.618605655083</v>
      </c>
      <c r="F99" s="28">
        <f t="shared" si="23"/>
        <v>22342.223181523856</v>
      </c>
      <c r="G99" s="28">
        <f>SUM(B99:F99)</f>
        <v>161608.7476796892</v>
      </c>
      <c r="H99" s="84">
        <f t="shared" si="19"/>
        <v>0.38894219496798632</v>
      </c>
    </row>
    <row r="100" spans="1:9">
      <c r="A100" s="23" t="s">
        <v>93</v>
      </c>
      <c r="B100" s="22">
        <f>1300+4%*B95</f>
        <v>4070.0559752500185</v>
      </c>
      <c r="C100" s="22">
        <f>1300+4%*C95</f>
        <v>4938.091949061085</v>
      </c>
      <c r="D100" s="22">
        <f>1300+4%*D95</f>
        <v>6048.667386142889</v>
      </c>
      <c r="E100" s="22">
        <f>1300+4%*E95</f>
        <v>4465.778257428592</v>
      </c>
      <c r="F100" s="22">
        <f>1300+4%*F95</f>
        <v>3597.7422836175269</v>
      </c>
      <c r="G100" s="22">
        <f t="shared" ref="G100:G104" si="24">SUM(B100:F100)</f>
        <v>23120.335851500113</v>
      </c>
      <c r="H100" s="24">
        <f t="shared" si="19"/>
        <v>5.5643486528976084E-2</v>
      </c>
    </row>
    <row r="101" spans="1:9">
      <c r="A101" s="23" t="s">
        <v>323</v>
      </c>
      <c r="B101" s="23">
        <v>4500</v>
      </c>
      <c r="C101" s="23">
        <v>4500</v>
      </c>
      <c r="D101" s="23">
        <v>4500</v>
      </c>
      <c r="E101" s="23">
        <v>4500</v>
      </c>
      <c r="F101" s="23">
        <v>4500</v>
      </c>
      <c r="G101" s="22">
        <f t="shared" si="24"/>
        <v>22500</v>
      </c>
      <c r="H101" s="24">
        <f t="shared" si="19"/>
        <v>5.4150530292609481E-2</v>
      </c>
    </row>
    <row r="102" spans="1:9" ht="15">
      <c r="A102" s="27" t="s">
        <v>308</v>
      </c>
      <c r="B102" s="28">
        <f t="shared" ref="B102:F102" si="25">B99-B100-B101</f>
        <v>18364.735304698184</v>
      </c>
      <c r="C102" s="28">
        <f t="shared" si="25"/>
        <v>25937.094755018355</v>
      </c>
      <c r="D102" s="28">
        <f t="shared" si="25"/>
        <v>35625.26052233974</v>
      </c>
      <c r="E102" s="28">
        <f t="shared" si="25"/>
        <v>21816.840348226491</v>
      </c>
      <c r="F102" s="28">
        <f t="shared" si="25"/>
        <v>14244.480897906327</v>
      </c>
      <c r="G102" s="28">
        <f t="shared" si="24"/>
        <v>115988.4118281891</v>
      </c>
      <c r="H102" s="84">
        <f t="shared" si="19"/>
        <v>0.27914817814640075</v>
      </c>
    </row>
    <row r="103" spans="1:9">
      <c r="A103" s="23" t="s">
        <v>432</v>
      </c>
      <c r="B103" s="22">
        <f>26%*B102</f>
        <v>4774.8311792215281</v>
      </c>
      <c r="C103" s="22">
        <f t="shared" ref="C103:F103" si="26">26%*C102</f>
        <v>6743.6446363047726</v>
      </c>
      <c r="D103" s="22">
        <f t="shared" si="26"/>
        <v>9262.5677358083321</v>
      </c>
      <c r="E103" s="22">
        <f t="shared" si="26"/>
        <v>5672.3784905388875</v>
      </c>
      <c r="F103" s="22">
        <f t="shared" si="26"/>
        <v>3703.5650334556453</v>
      </c>
      <c r="G103" s="22">
        <f t="shared" si="24"/>
        <v>30156.987075329165</v>
      </c>
      <c r="H103" s="24">
        <f t="shared" si="19"/>
        <v>7.2578526318064204E-2</v>
      </c>
    </row>
    <row r="104" spans="1:9" ht="15">
      <c r="A104" s="27" t="s">
        <v>431</v>
      </c>
      <c r="B104" s="28">
        <f t="shared" ref="B104:F104" si="27">B102-B103</f>
        <v>13589.904125476656</v>
      </c>
      <c r="C104" s="28">
        <f t="shared" si="27"/>
        <v>19193.450118713583</v>
      </c>
      <c r="D104" s="28">
        <f t="shared" si="27"/>
        <v>26362.692786531406</v>
      </c>
      <c r="E104" s="28">
        <f t="shared" si="27"/>
        <v>16144.461857687604</v>
      </c>
      <c r="F104" s="28">
        <f t="shared" si="27"/>
        <v>10540.915864450682</v>
      </c>
      <c r="G104" s="28">
        <f t="shared" si="24"/>
        <v>85831.424752859937</v>
      </c>
      <c r="H104" s="84">
        <f>G104/$G$95</f>
        <v>0.20656965182833659</v>
      </c>
    </row>
    <row r="106" spans="1:9" ht="15">
      <c r="A106" s="3" t="s">
        <v>434</v>
      </c>
    </row>
    <row r="108" spans="1:9" ht="15">
      <c r="D108" s="123" t="s">
        <v>340</v>
      </c>
      <c r="E108" s="124"/>
      <c r="F108" s="125" t="s">
        <v>268</v>
      </c>
      <c r="G108" s="126"/>
      <c r="H108" s="124"/>
      <c r="I108" s="127" t="s">
        <v>336</v>
      </c>
    </row>
    <row r="109" spans="1:9" ht="15">
      <c r="B109" s="65" t="s">
        <v>341</v>
      </c>
      <c r="C109" s="123" t="s">
        <v>342</v>
      </c>
      <c r="D109" s="128" t="s">
        <v>347</v>
      </c>
      <c r="E109" s="128" t="s">
        <v>346</v>
      </c>
      <c r="F109" s="128" t="s">
        <v>433</v>
      </c>
      <c r="G109" s="128" t="s">
        <v>345</v>
      </c>
      <c r="H109" s="128" t="s">
        <v>343</v>
      </c>
      <c r="I109" s="128" t="s">
        <v>7</v>
      </c>
    </row>
    <row r="110" spans="1:9">
      <c r="A110" s="4" t="s">
        <v>244</v>
      </c>
      <c r="B110" s="113">
        <f>100*1.4*30%</f>
        <v>42</v>
      </c>
      <c r="C110" s="113"/>
      <c r="D110" s="113"/>
      <c r="E110" s="113"/>
      <c r="F110" s="113"/>
      <c r="G110" s="113"/>
      <c r="H110" s="113"/>
      <c r="I110" s="113"/>
    </row>
    <row r="111" spans="1:9" ht="15">
      <c r="A111" s="4" t="s">
        <v>238</v>
      </c>
      <c r="B111" s="113">
        <f>100*60%*1.1</f>
        <v>66</v>
      </c>
      <c r="C111" s="113">
        <f>B110</f>
        <v>42</v>
      </c>
      <c r="D111" s="113">
        <v>90</v>
      </c>
      <c r="E111" s="113"/>
      <c r="F111" s="114">
        <f>0.4*B111</f>
        <v>26.400000000000002</v>
      </c>
      <c r="G111" s="113">
        <v>30</v>
      </c>
      <c r="H111" s="113"/>
      <c r="I111" s="116">
        <f>SUM(F111:H111)</f>
        <v>56.400000000000006</v>
      </c>
    </row>
    <row r="112" spans="1:9" ht="15">
      <c r="A112" s="4" t="s">
        <v>239</v>
      </c>
      <c r="B112" s="113">
        <f>100*60%*1.1</f>
        <v>66</v>
      </c>
      <c r="C112" s="113">
        <f t="shared" ref="C112:C117" si="28">B111</f>
        <v>66</v>
      </c>
      <c r="D112" s="113">
        <v>90</v>
      </c>
      <c r="E112" s="113">
        <v>50</v>
      </c>
      <c r="F112" s="114">
        <f t="shared" ref="F112:F117" si="29">0.4*B112</f>
        <v>26.400000000000002</v>
      </c>
      <c r="G112" s="113">
        <v>30</v>
      </c>
      <c r="H112" s="113"/>
      <c r="I112" s="116">
        <f t="shared" ref="I112:I117" si="30">SUM(F112:H112)</f>
        <v>56.400000000000006</v>
      </c>
    </row>
    <row r="113" spans="1:9" ht="15">
      <c r="A113" s="4" t="s">
        <v>240</v>
      </c>
      <c r="B113" s="113">
        <f>100*60%*1.1</f>
        <v>66</v>
      </c>
      <c r="C113" s="113">
        <f t="shared" si="28"/>
        <v>66</v>
      </c>
      <c r="D113" s="113">
        <v>90</v>
      </c>
      <c r="E113" s="113"/>
      <c r="F113" s="114">
        <f t="shared" si="29"/>
        <v>26.400000000000002</v>
      </c>
      <c r="G113" s="113">
        <v>26</v>
      </c>
      <c r="H113" s="113">
        <v>38</v>
      </c>
      <c r="I113" s="116">
        <f t="shared" si="30"/>
        <v>90.4</v>
      </c>
    </row>
    <row r="114" spans="1:9" ht="15">
      <c r="A114" s="4" t="s">
        <v>241</v>
      </c>
      <c r="B114" s="113">
        <f>100*60%*1.1</f>
        <v>66</v>
      </c>
      <c r="C114" s="113">
        <f t="shared" si="28"/>
        <v>66</v>
      </c>
      <c r="D114" s="113">
        <v>90</v>
      </c>
      <c r="E114" s="113">
        <v>50</v>
      </c>
      <c r="F114" s="114">
        <f t="shared" si="29"/>
        <v>26.400000000000002</v>
      </c>
      <c r="G114" s="113">
        <v>30</v>
      </c>
      <c r="H114" s="113"/>
      <c r="I114" s="116">
        <f t="shared" si="30"/>
        <v>56.400000000000006</v>
      </c>
    </row>
    <row r="115" spans="1:9" ht="15">
      <c r="A115" s="4" t="s">
        <v>242</v>
      </c>
      <c r="B115" s="113">
        <f>100*50%*1.6</f>
        <v>80</v>
      </c>
      <c r="C115" s="113">
        <f t="shared" si="28"/>
        <v>66</v>
      </c>
      <c r="D115" s="113">
        <v>90</v>
      </c>
      <c r="E115" s="113"/>
      <c r="F115" s="113">
        <f t="shared" si="29"/>
        <v>32</v>
      </c>
      <c r="G115" s="113">
        <v>38</v>
      </c>
      <c r="H115" s="113">
        <v>20</v>
      </c>
      <c r="I115" s="116">
        <f t="shared" si="30"/>
        <v>90</v>
      </c>
    </row>
    <row r="116" spans="1:9" ht="15">
      <c r="A116" s="4" t="s">
        <v>243</v>
      </c>
      <c r="B116" s="113">
        <f>100*50%*1.6</f>
        <v>80</v>
      </c>
      <c r="C116" s="113">
        <f t="shared" si="28"/>
        <v>80</v>
      </c>
      <c r="D116" s="113"/>
      <c r="E116" s="113"/>
      <c r="F116" s="113">
        <f t="shared" si="29"/>
        <v>32</v>
      </c>
      <c r="G116" s="113">
        <v>80</v>
      </c>
      <c r="H116" s="113">
        <v>40</v>
      </c>
      <c r="I116" s="116">
        <f t="shared" si="30"/>
        <v>152</v>
      </c>
    </row>
    <row r="117" spans="1:9" ht="15">
      <c r="A117" s="4" t="s">
        <v>244</v>
      </c>
      <c r="B117" s="113">
        <f>B110</f>
        <v>42</v>
      </c>
      <c r="C117" s="113">
        <f t="shared" si="28"/>
        <v>80</v>
      </c>
      <c r="D117" s="113"/>
      <c r="E117" s="113"/>
      <c r="F117" s="114">
        <f t="shared" si="29"/>
        <v>16.8</v>
      </c>
      <c r="G117" s="113">
        <v>80</v>
      </c>
      <c r="H117" s="113"/>
      <c r="I117" s="116">
        <f t="shared" si="30"/>
        <v>96.8</v>
      </c>
    </row>
    <row r="118" spans="1:9" ht="15">
      <c r="A118" s="3" t="s">
        <v>7</v>
      </c>
      <c r="B118" s="23"/>
      <c r="C118" s="65">
        <f>SUM(C110:C117)</f>
        <v>466</v>
      </c>
      <c r="D118" s="65">
        <f t="shared" ref="D118:I118" si="31">SUM(D110:D117)</f>
        <v>450</v>
      </c>
      <c r="E118" s="65">
        <f t="shared" si="31"/>
        <v>100</v>
      </c>
      <c r="F118" s="116">
        <f t="shared" si="31"/>
        <v>186.40000000000003</v>
      </c>
      <c r="G118" s="65">
        <f t="shared" si="31"/>
        <v>314</v>
      </c>
      <c r="H118" s="65">
        <f t="shared" si="31"/>
        <v>98</v>
      </c>
      <c r="I118" s="116">
        <f t="shared" si="31"/>
        <v>598.4</v>
      </c>
    </row>
    <row r="119" spans="1:9" ht="15">
      <c r="A119" s="3"/>
      <c r="C119" s="7"/>
      <c r="D119" s="7"/>
      <c r="E119" s="7"/>
      <c r="F119" s="34"/>
      <c r="G119" s="7"/>
      <c r="H119" s="7"/>
      <c r="I119" s="34"/>
    </row>
    <row r="120" spans="1:9" ht="15">
      <c r="A120" s="3" t="s">
        <v>436</v>
      </c>
    </row>
    <row r="121" spans="1:9" ht="15">
      <c r="A121" s="3" t="s">
        <v>435</v>
      </c>
      <c r="C121" s="123" t="s">
        <v>340</v>
      </c>
      <c r="D121" s="124"/>
      <c r="E121" s="129" t="s">
        <v>268</v>
      </c>
      <c r="F121" s="126"/>
      <c r="G121" s="127" t="s">
        <v>334</v>
      </c>
    </row>
    <row r="122" spans="1:9" ht="15">
      <c r="B122" s="65" t="s">
        <v>342</v>
      </c>
      <c r="C122" s="128" t="s">
        <v>329</v>
      </c>
      <c r="D122" s="128" t="s">
        <v>330</v>
      </c>
      <c r="E122" s="65" t="s">
        <v>9</v>
      </c>
      <c r="F122" s="65" t="s">
        <v>312</v>
      </c>
      <c r="G122" s="128" t="s">
        <v>7</v>
      </c>
      <c r="H122" s="3"/>
    </row>
    <row r="123" spans="1:9">
      <c r="A123" s="4" t="s">
        <v>344</v>
      </c>
      <c r="B123" s="130">
        <v>6.4</v>
      </c>
      <c r="C123" s="130">
        <v>8.9</v>
      </c>
      <c r="D123" s="130">
        <v>14</v>
      </c>
      <c r="E123" s="130">
        <v>22</v>
      </c>
      <c r="F123" s="130">
        <v>10</v>
      </c>
      <c r="G123" s="130"/>
    </row>
    <row r="124" spans="1:9">
      <c r="A124" s="4" t="s">
        <v>238</v>
      </c>
      <c r="B124" s="22">
        <f>$B$123*C111</f>
        <v>268.8</v>
      </c>
      <c r="C124" s="23">
        <f>$C$123*D111</f>
        <v>801</v>
      </c>
      <c r="D124" s="23">
        <f>$D$123*E111</f>
        <v>0</v>
      </c>
      <c r="E124" s="22">
        <f>$E$123*I111</f>
        <v>1240.8000000000002</v>
      </c>
      <c r="F124" s="23">
        <f>$F$123*I111</f>
        <v>564</v>
      </c>
      <c r="G124" s="22">
        <f>SUM(B124:F124)</f>
        <v>2874.6000000000004</v>
      </c>
      <c r="H124" s="8"/>
    </row>
    <row r="125" spans="1:9">
      <c r="A125" s="4" t="s">
        <v>239</v>
      </c>
      <c r="B125" s="22">
        <f t="shared" ref="B125:B130" si="32">$B$123*C112</f>
        <v>422.40000000000003</v>
      </c>
      <c r="C125" s="23">
        <f t="shared" ref="C125:C130" si="33">$C$123*D112</f>
        <v>801</v>
      </c>
      <c r="D125" s="23">
        <f t="shared" ref="D125:D130" si="34">$D$123*E112</f>
        <v>700</v>
      </c>
      <c r="E125" s="22">
        <f t="shared" ref="E125:E130" si="35">$E$123*I112</f>
        <v>1240.8000000000002</v>
      </c>
      <c r="F125" s="23">
        <f t="shared" ref="F125:F130" si="36">$F$123*I112</f>
        <v>564</v>
      </c>
      <c r="G125" s="22">
        <f t="shared" ref="G125:G131" si="37">SUM(B125:F125)</f>
        <v>3728.2000000000003</v>
      </c>
      <c r="H125" s="8"/>
    </row>
    <row r="126" spans="1:9">
      <c r="A126" s="4" t="s">
        <v>240</v>
      </c>
      <c r="B126" s="22">
        <f t="shared" si="32"/>
        <v>422.40000000000003</v>
      </c>
      <c r="C126" s="23">
        <f t="shared" si="33"/>
        <v>801</v>
      </c>
      <c r="D126" s="23">
        <f t="shared" si="34"/>
        <v>0</v>
      </c>
      <c r="E126" s="22">
        <f t="shared" si="35"/>
        <v>1988.8000000000002</v>
      </c>
      <c r="F126" s="23">
        <f t="shared" si="36"/>
        <v>904</v>
      </c>
      <c r="G126" s="22">
        <f t="shared" si="37"/>
        <v>4116.2000000000007</v>
      </c>
      <c r="H126" s="8"/>
    </row>
    <row r="127" spans="1:9">
      <c r="A127" s="4" t="s">
        <v>241</v>
      </c>
      <c r="B127" s="22">
        <f t="shared" si="32"/>
        <v>422.40000000000003</v>
      </c>
      <c r="C127" s="23">
        <f t="shared" si="33"/>
        <v>801</v>
      </c>
      <c r="D127" s="23">
        <f t="shared" si="34"/>
        <v>700</v>
      </c>
      <c r="E127" s="22">
        <f t="shared" si="35"/>
        <v>1240.8000000000002</v>
      </c>
      <c r="F127" s="23">
        <f t="shared" si="36"/>
        <v>564</v>
      </c>
      <c r="G127" s="22">
        <f t="shared" si="37"/>
        <v>3728.2000000000003</v>
      </c>
      <c r="H127" s="8"/>
    </row>
    <row r="128" spans="1:9">
      <c r="A128" s="4" t="s">
        <v>242</v>
      </c>
      <c r="B128" s="22">
        <f t="shared" si="32"/>
        <v>422.40000000000003</v>
      </c>
      <c r="C128" s="23">
        <f t="shared" si="33"/>
        <v>801</v>
      </c>
      <c r="D128" s="23">
        <f t="shared" si="34"/>
        <v>0</v>
      </c>
      <c r="E128" s="22">
        <f t="shared" si="35"/>
        <v>1980</v>
      </c>
      <c r="F128" s="23">
        <f t="shared" si="36"/>
        <v>900</v>
      </c>
      <c r="G128" s="22">
        <f t="shared" si="37"/>
        <v>4103.3999999999996</v>
      </c>
      <c r="H128" s="8"/>
    </row>
    <row r="129" spans="1:10">
      <c r="A129" s="4" t="s">
        <v>243</v>
      </c>
      <c r="B129" s="22">
        <f t="shared" si="32"/>
        <v>512</v>
      </c>
      <c r="C129" s="23">
        <f t="shared" si="33"/>
        <v>0</v>
      </c>
      <c r="D129" s="23">
        <f t="shared" si="34"/>
        <v>0</v>
      </c>
      <c r="E129" s="22">
        <f t="shared" si="35"/>
        <v>3344</v>
      </c>
      <c r="F129" s="23">
        <f t="shared" si="36"/>
        <v>1520</v>
      </c>
      <c r="G129" s="22">
        <f t="shared" si="37"/>
        <v>5376</v>
      </c>
      <c r="H129" s="8"/>
    </row>
    <row r="130" spans="1:10">
      <c r="A130" s="4" t="s">
        <v>244</v>
      </c>
      <c r="B130" s="22">
        <f t="shared" si="32"/>
        <v>512</v>
      </c>
      <c r="C130" s="23">
        <f t="shared" si="33"/>
        <v>0</v>
      </c>
      <c r="D130" s="23">
        <f t="shared" si="34"/>
        <v>0</v>
      </c>
      <c r="E130" s="22">
        <f t="shared" si="35"/>
        <v>2129.6</v>
      </c>
      <c r="F130" s="23">
        <f t="shared" si="36"/>
        <v>968</v>
      </c>
      <c r="G130" s="22">
        <f t="shared" si="37"/>
        <v>3609.6</v>
      </c>
      <c r="H130" s="8"/>
    </row>
    <row r="131" spans="1:10" ht="15">
      <c r="A131" s="3" t="s">
        <v>9</v>
      </c>
      <c r="B131" s="22">
        <f>SUM(B124:B130)</f>
        <v>2982.4000000000005</v>
      </c>
      <c r="C131" s="22">
        <f>SUM(C124:C130)</f>
        <v>4005</v>
      </c>
      <c r="D131" s="22">
        <f>SUM(D124:D130)</f>
        <v>1400</v>
      </c>
      <c r="E131" s="22">
        <f>SUM(E124:E130)</f>
        <v>13164.800000000001</v>
      </c>
      <c r="F131" s="22">
        <f>SUM(F124:F130)</f>
        <v>5984</v>
      </c>
      <c r="G131" s="28">
        <f t="shared" si="37"/>
        <v>27536.200000000004</v>
      </c>
      <c r="H131" s="30"/>
    </row>
    <row r="133" spans="1:10" ht="15">
      <c r="A133" s="3" t="s">
        <v>2</v>
      </c>
      <c r="B133" s="22">
        <f>B131/1.13</f>
        <v>2639.2920353982308</v>
      </c>
      <c r="C133" s="22">
        <f t="shared" ref="C133:E133" si="38">C131/1.13</f>
        <v>3544.24778761062</v>
      </c>
      <c r="D133" s="22">
        <f t="shared" si="38"/>
        <v>1238.9380530973453</v>
      </c>
      <c r="E133" s="22">
        <f t="shared" si="38"/>
        <v>11650.265486725666</v>
      </c>
      <c r="F133" s="22">
        <f>F131/1.23</f>
        <v>4865.040650406504</v>
      </c>
      <c r="G133" s="28">
        <f>SUM(B133:F133)</f>
        <v>23937.784013238364</v>
      </c>
      <c r="H133" s="3"/>
      <c r="I133" s="3"/>
    </row>
    <row r="135" spans="1:10" ht="15">
      <c r="A135" s="131" t="s">
        <v>438</v>
      </c>
      <c r="B135" s="131"/>
      <c r="C135" s="131"/>
      <c r="D135" s="131"/>
      <c r="E135" s="131"/>
      <c r="F135" s="131"/>
      <c r="G135" s="131"/>
      <c r="H135" s="131"/>
      <c r="I135" s="131"/>
      <c r="J135" s="131"/>
    </row>
    <row r="136" spans="1:10" ht="15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</row>
    <row r="137" spans="1:10" ht="15">
      <c r="A137" s="132" t="s">
        <v>437</v>
      </c>
      <c r="B137" s="66">
        <v>140</v>
      </c>
      <c r="C137" s="132"/>
      <c r="D137" s="132"/>
      <c r="E137" s="132"/>
      <c r="F137" s="132"/>
      <c r="G137" s="132"/>
      <c r="H137" s="132"/>
      <c r="I137" s="132"/>
      <c r="J137" s="132"/>
    </row>
    <row r="138" spans="1:10" ht="15">
      <c r="A138" s="133"/>
      <c r="B138" s="134"/>
      <c r="C138" s="132"/>
      <c r="D138" s="132"/>
      <c r="E138" s="132"/>
      <c r="F138" s="132"/>
      <c r="G138" s="132"/>
      <c r="H138" s="132"/>
      <c r="I138" s="132"/>
      <c r="J138" s="132"/>
    </row>
    <row r="139" spans="1:10" ht="15">
      <c r="A139" s="132" t="s">
        <v>324</v>
      </c>
      <c r="B139" s="132"/>
      <c r="C139" s="132"/>
      <c r="D139" s="132"/>
      <c r="E139" s="135"/>
      <c r="F139" s="135"/>
      <c r="G139" s="132"/>
      <c r="H139" s="132"/>
      <c r="I139" s="132"/>
      <c r="J139" s="132"/>
    </row>
    <row r="140" spans="1:10" ht="15">
      <c r="A140" s="132"/>
      <c r="B140" s="136" t="s">
        <v>325</v>
      </c>
      <c r="C140" s="137"/>
      <c r="D140" s="137"/>
      <c r="E140" s="138" t="s">
        <v>272</v>
      </c>
      <c r="F140" s="139"/>
      <c r="G140" s="138" t="s">
        <v>268</v>
      </c>
      <c r="H140" s="140"/>
      <c r="I140" s="140"/>
      <c r="J140" s="139"/>
    </row>
    <row r="141" spans="1:10" ht="15">
      <c r="A141" s="141"/>
      <c r="B141" s="142" t="s">
        <v>326</v>
      </c>
      <c r="C141" s="66" t="s">
        <v>327</v>
      </c>
      <c r="D141" s="66" t="s">
        <v>328</v>
      </c>
      <c r="E141" s="142" t="s">
        <v>329</v>
      </c>
      <c r="F141" s="142" t="s">
        <v>330</v>
      </c>
      <c r="G141" s="142" t="s">
        <v>331</v>
      </c>
      <c r="H141" s="142" t="s">
        <v>332</v>
      </c>
      <c r="I141" s="142" t="s">
        <v>252</v>
      </c>
      <c r="J141" s="142" t="s">
        <v>9</v>
      </c>
    </row>
    <row r="142" spans="1:10" ht="15">
      <c r="A142" s="79" t="s">
        <v>244</v>
      </c>
      <c r="B142" s="77">
        <f>180*30%</f>
        <v>54</v>
      </c>
      <c r="C142" s="77">
        <f>B142*1.5</f>
        <v>81</v>
      </c>
      <c r="D142" s="79"/>
      <c r="E142" s="79"/>
      <c r="F142" s="79"/>
      <c r="G142" s="79"/>
      <c r="H142" s="79"/>
      <c r="I142" s="79"/>
      <c r="J142" s="79"/>
    </row>
    <row r="143" spans="1:10" ht="15">
      <c r="A143" s="79" t="s">
        <v>238</v>
      </c>
      <c r="B143" s="77">
        <f>180*60%</f>
        <v>108</v>
      </c>
      <c r="C143" s="156">
        <f>1.4*B143</f>
        <v>151.19999999999999</v>
      </c>
      <c r="D143" s="77">
        <f>C142</f>
        <v>81</v>
      </c>
      <c r="E143" s="77">
        <v>150</v>
      </c>
      <c r="F143" s="77">
        <v>60</v>
      </c>
      <c r="G143" s="156">
        <f>C143*30%</f>
        <v>45.359999999999992</v>
      </c>
      <c r="H143" s="77">
        <v>60</v>
      </c>
      <c r="I143" s="77"/>
      <c r="J143" s="143">
        <f>SUM(G143:I143)</f>
        <v>105.35999999999999</v>
      </c>
    </row>
    <row r="144" spans="1:10" ht="15">
      <c r="A144" s="79" t="s">
        <v>239</v>
      </c>
      <c r="B144" s="77">
        <f>180*60%</f>
        <v>108</v>
      </c>
      <c r="C144" s="156">
        <f>1.4*B144</f>
        <v>151.19999999999999</v>
      </c>
      <c r="D144" s="156">
        <f t="shared" ref="D144:D149" si="39">C143</f>
        <v>151.19999999999999</v>
      </c>
      <c r="E144" s="77">
        <v>150</v>
      </c>
      <c r="F144" s="77"/>
      <c r="G144" s="156">
        <f t="shared" ref="G144:G149" si="40">C144*30%</f>
        <v>45.359999999999992</v>
      </c>
      <c r="H144" s="77">
        <v>60</v>
      </c>
      <c r="I144" s="77">
        <v>28</v>
      </c>
      <c r="J144" s="143">
        <f t="shared" ref="J144:J150" si="41">SUM(G144:I144)</f>
        <v>133.35999999999999</v>
      </c>
    </row>
    <row r="145" spans="1:10" ht="15">
      <c r="A145" s="79" t="s">
        <v>240</v>
      </c>
      <c r="B145" s="77">
        <f>180*60%</f>
        <v>108</v>
      </c>
      <c r="C145" s="156">
        <f>1.4*B145</f>
        <v>151.19999999999999</v>
      </c>
      <c r="D145" s="156">
        <f t="shared" si="39"/>
        <v>151.19999999999999</v>
      </c>
      <c r="E145" s="77">
        <v>150</v>
      </c>
      <c r="F145" s="77"/>
      <c r="G145" s="156">
        <f t="shared" si="40"/>
        <v>45.359999999999992</v>
      </c>
      <c r="H145" s="77">
        <v>60</v>
      </c>
      <c r="I145" s="77"/>
      <c r="J145" s="143">
        <f t="shared" si="41"/>
        <v>105.35999999999999</v>
      </c>
    </row>
    <row r="146" spans="1:10" ht="15">
      <c r="A146" s="79" t="s">
        <v>241</v>
      </c>
      <c r="B146" s="77">
        <f>180*60%</f>
        <v>108</v>
      </c>
      <c r="C146" s="156">
        <f>1.4*B146</f>
        <v>151.19999999999999</v>
      </c>
      <c r="D146" s="156">
        <f t="shared" si="39"/>
        <v>151.19999999999999</v>
      </c>
      <c r="E146" s="77">
        <v>150</v>
      </c>
      <c r="F146" s="77">
        <v>60</v>
      </c>
      <c r="G146" s="156">
        <f t="shared" si="40"/>
        <v>45.359999999999992</v>
      </c>
      <c r="H146" s="77">
        <v>15</v>
      </c>
      <c r="I146" s="77">
        <v>80</v>
      </c>
      <c r="J146" s="143">
        <f t="shared" si="41"/>
        <v>140.35999999999999</v>
      </c>
    </row>
    <row r="147" spans="1:10" ht="15">
      <c r="A147" s="79" t="s">
        <v>242</v>
      </c>
      <c r="B147" s="77">
        <f>180*40%</f>
        <v>72</v>
      </c>
      <c r="C147" s="156">
        <f>B147*1.7</f>
        <v>122.39999999999999</v>
      </c>
      <c r="D147" s="156">
        <f t="shared" si="39"/>
        <v>151.19999999999999</v>
      </c>
      <c r="E147" s="77">
        <v>150</v>
      </c>
      <c r="F147" s="77"/>
      <c r="G147" s="156">
        <f t="shared" si="40"/>
        <v>36.72</v>
      </c>
      <c r="H147" s="77">
        <v>103</v>
      </c>
      <c r="I147" s="77"/>
      <c r="J147" s="143">
        <f t="shared" si="41"/>
        <v>139.72</v>
      </c>
    </row>
    <row r="148" spans="1:10" ht="15">
      <c r="A148" s="79" t="s">
        <v>243</v>
      </c>
      <c r="B148" s="77">
        <f>180*40%</f>
        <v>72</v>
      </c>
      <c r="C148" s="156">
        <f>B148*1.7</f>
        <v>122.39999999999999</v>
      </c>
      <c r="D148" s="156">
        <f t="shared" si="39"/>
        <v>122.39999999999999</v>
      </c>
      <c r="E148" s="77"/>
      <c r="F148" s="77"/>
      <c r="G148" s="156">
        <f t="shared" si="40"/>
        <v>36.72</v>
      </c>
      <c r="H148" s="77">
        <v>120</v>
      </c>
      <c r="I148" s="77"/>
      <c r="J148" s="143">
        <f t="shared" si="41"/>
        <v>156.72</v>
      </c>
    </row>
    <row r="149" spans="1:10" ht="15">
      <c r="A149" s="79" t="s">
        <v>244</v>
      </c>
      <c r="B149" s="77">
        <f>180*30%</f>
        <v>54</v>
      </c>
      <c r="C149" s="77">
        <f>B149*1.5</f>
        <v>81</v>
      </c>
      <c r="D149" s="156">
        <f t="shared" si="39"/>
        <v>122.39999999999999</v>
      </c>
      <c r="E149" s="77"/>
      <c r="F149" s="77"/>
      <c r="G149" s="156">
        <f t="shared" si="40"/>
        <v>24.3</v>
      </c>
      <c r="H149" s="77">
        <v>120</v>
      </c>
      <c r="I149" s="77"/>
      <c r="J149" s="143">
        <f t="shared" si="41"/>
        <v>144.30000000000001</v>
      </c>
    </row>
    <row r="150" spans="1:10" ht="15">
      <c r="A150" s="79" t="s">
        <v>9</v>
      </c>
      <c r="B150" s="79">
        <f>SUM(B143:B149)</f>
        <v>630</v>
      </c>
      <c r="C150" s="143">
        <f>SUM(C143:C149)</f>
        <v>930.59999999999991</v>
      </c>
      <c r="D150" s="143">
        <f t="shared" ref="D150:I150" si="42">SUM(D143:D149)</f>
        <v>930.59999999999991</v>
      </c>
      <c r="E150" s="143">
        <f t="shared" si="42"/>
        <v>750</v>
      </c>
      <c r="F150" s="143">
        <f t="shared" si="42"/>
        <v>120</v>
      </c>
      <c r="G150" s="143">
        <f t="shared" si="42"/>
        <v>279.17999999999995</v>
      </c>
      <c r="H150" s="143">
        <f t="shared" si="42"/>
        <v>538</v>
      </c>
      <c r="I150" s="143">
        <f t="shared" si="42"/>
        <v>108</v>
      </c>
      <c r="J150" s="143">
        <f t="shared" si="41"/>
        <v>925.18</v>
      </c>
    </row>
    <row r="151" spans="1:10" ht="15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</row>
    <row r="152" spans="1:10" ht="15">
      <c r="A152" s="132" t="s">
        <v>333</v>
      </c>
      <c r="B152" s="132"/>
      <c r="C152" s="132"/>
      <c r="D152" s="132"/>
      <c r="E152" s="132"/>
      <c r="F152" s="132"/>
      <c r="G152" s="132"/>
      <c r="H152" s="132"/>
      <c r="I152" s="132"/>
      <c r="J152" s="132"/>
    </row>
    <row r="153" spans="1:10" ht="15">
      <c r="A153" s="132"/>
      <c r="B153" s="138" t="s">
        <v>272</v>
      </c>
      <c r="C153" s="144"/>
      <c r="D153" s="145"/>
      <c r="E153" s="138" t="s">
        <v>268</v>
      </c>
      <c r="F153" s="140"/>
      <c r="G153" s="140"/>
      <c r="H153" s="139"/>
      <c r="I153" s="135"/>
      <c r="J153" s="136" t="s">
        <v>334</v>
      </c>
    </row>
    <row r="154" spans="1:10" ht="15">
      <c r="A154" s="132"/>
      <c r="B154" s="66" t="s">
        <v>328</v>
      </c>
      <c r="C154" s="142" t="s">
        <v>329</v>
      </c>
      <c r="D154" s="142" t="s">
        <v>330</v>
      </c>
      <c r="E154" s="142" t="s">
        <v>331</v>
      </c>
      <c r="F154" s="142" t="s">
        <v>332</v>
      </c>
      <c r="G154" s="146" t="s">
        <v>252</v>
      </c>
      <c r="H154" s="142" t="s">
        <v>254</v>
      </c>
      <c r="I154" s="140" t="s">
        <v>335</v>
      </c>
      <c r="J154" s="142" t="s">
        <v>9</v>
      </c>
    </row>
    <row r="155" spans="1:10" ht="15">
      <c r="A155" s="79" t="s">
        <v>338</v>
      </c>
      <c r="B155" s="147">
        <f>6.8/1.13</f>
        <v>6.0176991150442483</v>
      </c>
      <c r="C155" s="147">
        <f>9.5/1.13</f>
        <v>8.4070796460176993</v>
      </c>
      <c r="D155" s="147">
        <f>16.5/1.13</f>
        <v>14.601769911504427</v>
      </c>
      <c r="E155" s="147">
        <f>28.5/1.13</f>
        <v>25.221238938053101</v>
      </c>
      <c r="F155" s="147">
        <f>28.5/1.13</f>
        <v>25.221238938053101</v>
      </c>
      <c r="G155" s="147">
        <f>28.5/1.13</f>
        <v>25.221238938053101</v>
      </c>
      <c r="H155" s="148"/>
      <c r="I155" s="147">
        <f>17/1.23</f>
        <v>13.821138211382115</v>
      </c>
      <c r="J155" s="148"/>
    </row>
    <row r="156" spans="1:10" ht="15">
      <c r="A156" s="79" t="s">
        <v>238</v>
      </c>
      <c r="B156" s="156">
        <f>$B$155*D143</f>
        <v>487.43362831858411</v>
      </c>
      <c r="C156" s="156">
        <f>$C$155*E143</f>
        <v>1261.0619469026549</v>
      </c>
      <c r="D156" s="156">
        <f>$D$155*F143</f>
        <v>876.10619469026562</v>
      </c>
      <c r="E156" s="156">
        <f>$E$155*G143</f>
        <v>1144.0353982300885</v>
      </c>
      <c r="F156" s="156">
        <f>$F$155*H143</f>
        <v>1513.2743362831861</v>
      </c>
      <c r="G156" s="156">
        <f>$G$155*I143</f>
        <v>0</v>
      </c>
      <c r="H156" s="156">
        <f t="shared" ref="H156:H162" si="43">SUM(E156:G156)</f>
        <v>2657.3097345132746</v>
      </c>
      <c r="I156" s="156">
        <f>$I$155*J143</f>
        <v>1456.1951219512193</v>
      </c>
      <c r="J156" s="143">
        <f>B156+C156+D156+I156+H156</f>
        <v>6738.1066263759985</v>
      </c>
    </row>
    <row r="157" spans="1:10" ht="15">
      <c r="A157" s="79" t="s">
        <v>239</v>
      </c>
      <c r="B157" s="156">
        <f t="shared" ref="B157:B162" si="44">$B$155*D144</f>
        <v>909.87610619469024</v>
      </c>
      <c r="C157" s="156">
        <f t="shared" ref="C157:C162" si="45">$C$155*E144</f>
        <v>1261.0619469026549</v>
      </c>
      <c r="D157" s="156">
        <f t="shared" ref="D157:D162" si="46">$D$155*F144</f>
        <v>0</v>
      </c>
      <c r="E157" s="156">
        <f t="shared" ref="E157:E162" si="47">$E$155*G144</f>
        <v>1144.0353982300885</v>
      </c>
      <c r="F157" s="156">
        <f t="shared" ref="F157:F162" si="48">$F$155*H144</f>
        <v>1513.2743362831861</v>
      </c>
      <c r="G157" s="156">
        <f t="shared" ref="G157:G162" si="49">$G$155*I144</f>
        <v>706.19469026548688</v>
      </c>
      <c r="H157" s="156">
        <f t="shared" si="43"/>
        <v>3363.5044247787614</v>
      </c>
      <c r="I157" s="156">
        <f t="shared" ref="I157:I162" si="50">$I$155*J144</f>
        <v>1843.1869918699185</v>
      </c>
      <c r="J157" s="143">
        <f t="shared" ref="J157:J162" si="51">B157+C157+D157+I157+H157</f>
        <v>7377.6294697460253</v>
      </c>
    </row>
    <row r="158" spans="1:10" ht="15">
      <c r="A158" s="79" t="s">
        <v>240</v>
      </c>
      <c r="B158" s="156">
        <f t="shared" si="44"/>
        <v>909.87610619469024</v>
      </c>
      <c r="C158" s="156">
        <f t="shared" si="45"/>
        <v>1261.0619469026549</v>
      </c>
      <c r="D158" s="156">
        <f t="shared" si="46"/>
        <v>0</v>
      </c>
      <c r="E158" s="156">
        <f t="shared" si="47"/>
        <v>1144.0353982300885</v>
      </c>
      <c r="F158" s="156">
        <f t="shared" si="48"/>
        <v>1513.2743362831861</v>
      </c>
      <c r="G158" s="156">
        <f t="shared" si="49"/>
        <v>0</v>
      </c>
      <c r="H158" s="156">
        <f t="shared" si="43"/>
        <v>2657.3097345132746</v>
      </c>
      <c r="I158" s="156">
        <f t="shared" si="50"/>
        <v>1456.1951219512193</v>
      </c>
      <c r="J158" s="143">
        <f t="shared" si="51"/>
        <v>6284.4429095618389</v>
      </c>
    </row>
    <row r="159" spans="1:10" ht="15">
      <c r="A159" s="79" t="s">
        <v>241</v>
      </c>
      <c r="B159" s="156">
        <f t="shared" si="44"/>
        <v>909.87610619469024</v>
      </c>
      <c r="C159" s="156">
        <f t="shared" si="45"/>
        <v>1261.0619469026549</v>
      </c>
      <c r="D159" s="156">
        <f t="shared" si="46"/>
        <v>876.10619469026562</v>
      </c>
      <c r="E159" s="156">
        <f t="shared" si="47"/>
        <v>1144.0353982300885</v>
      </c>
      <c r="F159" s="156">
        <f t="shared" si="48"/>
        <v>378.31858407079653</v>
      </c>
      <c r="G159" s="156">
        <f t="shared" si="49"/>
        <v>2017.6991150442482</v>
      </c>
      <c r="H159" s="156">
        <f t="shared" si="43"/>
        <v>3540.0530973451332</v>
      </c>
      <c r="I159" s="156">
        <f t="shared" si="50"/>
        <v>1939.9349593495933</v>
      </c>
      <c r="J159" s="143">
        <f t="shared" si="51"/>
        <v>8527.0323044823381</v>
      </c>
    </row>
    <row r="160" spans="1:10" ht="15">
      <c r="A160" s="79" t="s">
        <v>242</v>
      </c>
      <c r="B160" s="156">
        <f t="shared" si="44"/>
        <v>909.87610619469024</v>
      </c>
      <c r="C160" s="156">
        <f t="shared" si="45"/>
        <v>1261.0619469026549</v>
      </c>
      <c r="D160" s="156">
        <f t="shared" si="46"/>
        <v>0</v>
      </c>
      <c r="E160" s="156">
        <f t="shared" si="47"/>
        <v>926.12389380530988</v>
      </c>
      <c r="F160" s="156">
        <f t="shared" si="48"/>
        <v>2597.7876106194694</v>
      </c>
      <c r="G160" s="156">
        <f t="shared" si="49"/>
        <v>0</v>
      </c>
      <c r="H160" s="156">
        <f t="shared" si="43"/>
        <v>3523.9115044247792</v>
      </c>
      <c r="I160" s="156">
        <f t="shared" si="50"/>
        <v>1931.0894308943091</v>
      </c>
      <c r="J160" s="143">
        <f t="shared" si="51"/>
        <v>7625.9389884164329</v>
      </c>
    </row>
    <row r="161" spans="1:16" ht="15">
      <c r="A161" s="79" t="s">
        <v>243</v>
      </c>
      <c r="B161" s="156">
        <f t="shared" si="44"/>
        <v>736.56637168141594</v>
      </c>
      <c r="C161" s="156">
        <f t="shared" si="45"/>
        <v>0</v>
      </c>
      <c r="D161" s="156">
        <f t="shared" si="46"/>
        <v>0</v>
      </c>
      <c r="E161" s="156">
        <f t="shared" si="47"/>
        <v>926.12389380530988</v>
      </c>
      <c r="F161" s="156">
        <f t="shared" si="48"/>
        <v>3026.5486725663723</v>
      </c>
      <c r="G161" s="156">
        <f t="shared" si="49"/>
        <v>0</v>
      </c>
      <c r="H161" s="156">
        <f t="shared" si="43"/>
        <v>3952.672566371682</v>
      </c>
      <c r="I161" s="156">
        <f t="shared" si="50"/>
        <v>2166.0487804878048</v>
      </c>
      <c r="J161" s="143">
        <f t="shared" si="51"/>
        <v>6855.2877185409034</v>
      </c>
    </row>
    <row r="162" spans="1:16" ht="15">
      <c r="A162" s="79" t="s">
        <v>244</v>
      </c>
      <c r="B162" s="156">
        <f t="shared" si="44"/>
        <v>736.56637168141594</v>
      </c>
      <c r="C162" s="156">
        <f t="shared" si="45"/>
        <v>0</v>
      </c>
      <c r="D162" s="156">
        <f t="shared" si="46"/>
        <v>0</v>
      </c>
      <c r="E162" s="156">
        <f t="shared" si="47"/>
        <v>612.87610619469035</v>
      </c>
      <c r="F162" s="156">
        <f t="shared" si="48"/>
        <v>3026.5486725663723</v>
      </c>
      <c r="G162" s="156">
        <f t="shared" si="49"/>
        <v>0</v>
      </c>
      <c r="H162" s="156">
        <f t="shared" si="43"/>
        <v>3639.4247787610625</v>
      </c>
      <c r="I162" s="156">
        <f t="shared" si="50"/>
        <v>1994.3902439024394</v>
      </c>
      <c r="J162" s="143">
        <f t="shared" si="51"/>
        <v>6370.3813943449177</v>
      </c>
    </row>
    <row r="163" spans="1:16" s="3" customFormat="1" ht="15">
      <c r="A163" s="79" t="s">
        <v>9</v>
      </c>
      <c r="B163" s="143">
        <f>SUM(B156:B162)</f>
        <v>5600.070796460177</v>
      </c>
      <c r="C163" s="143">
        <f t="shared" ref="C163:J163" si="52">SUM(C156:C162)</f>
        <v>6305.3097345132746</v>
      </c>
      <c r="D163" s="143">
        <f t="shared" si="52"/>
        <v>1752.2123893805312</v>
      </c>
      <c r="E163" s="143">
        <f t="shared" si="52"/>
        <v>7041.2654867256651</v>
      </c>
      <c r="F163" s="143">
        <f t="shared" si="52"/>
        <v>13569.026548672569</v>
      </c>
      <c r="G163" s="143">
        <f t="shared" si="52"/>
        <v>2723.8938053097349</v>
      </c>
      <c r="H163" s="143">
        <f t="shared" si="52"/>
        <v>23334.185840707967</v>
      </c>
      <c r="I163" s="143">
        <f t="shared" si="52"/>
        <v>12787.040650406503</v>
      </c>
      <c r="J163" s="143">
        <f t="shared" si="52"/>
        <v>49778.819411468452</v>
      </c>
    </row>
    <row r="164" spans="1:16" ht="15">
      <c r="A164" s="132"/>
      <c r="B164" s="149"/>
      <c r="C164" s="149"/>
      <c r="D164" s="149"/>
      <c r="E164" s="149"/>
      <c r="F164" s="149"/>
      <c r="G164" s="149"/>
      <c r="H164" s="149"/>
      <c r="I164" s="149"/>
      <c r="J164" s="149"/>
    </row>
    <row r="165" spans="1:16" ht="15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</row>
    <row r="166" spans="1:16" ht="15">
      <c r="A166" s="132" t="s">
        <v>160</v>
      </c>
      <c r="B166" s="135"/>
      <c r="C166" s="150" t="s">
        <v>329</v>
      </c>
      <c r="D166" s="136" t="s">
        <v>330</v>
      </c>
      <c r="E166" s="132"/>
      <c r="F166" s="132"/>
      <c r="G166" s="132"/>
      <c r="H166" s="132"/>
      <c r="I166" s="151" t="s">
        <v>192</v>
      </c>
      <c r="J166" s="152"/>
    </row>
    <row r="167" spans="1:16" ht="15">
      <c r="A167" s="132"/>
      <c r="B167" s="153" t="s">
        <v>260</v>
      </c>
      <c r="C167" s="146" t="s">
        <v>339</v>
      </c>
      <c r="D167" s="142" t="s">
        <v>339</v>
      </c>
      <c r="E167" s="139" t="s">
        <v>336</v>
      </c>
      <c r="F167" s="66" t="s">
        <v>335</v>
      </c>
      <c r="G167" s="66" t="s">
        <v>9</v>
      </c>
      <c r="H167" s="153" t="s">
        <v>122</v>
      </c>
      <c r="I167" s="142" t="s">
        <v>337</v>
      </c>
      <c r="J167" s="152"/>
    </row>
    <row r="168" spans="1:16" ht="15">
      <c r="A168" s="79" t="s">
        <v>2</v>
      </c>
      <c r="B168" s="143">
        <f>B163</f>
        <v>5600.070796460177</v>
      </c>
      <c r="C168" s="154">
        <f>C163</f>
        <v>6305.3097345132746</v>
      </c>
      <c r="D168" s="154">
        <f>D163</f>
        <v>1752.2123893805312</v>
      </c>
      <c r="E168" s="143">
        <f>H163</f>
        <v>23334.185840707967</v>
      </c>
      <c r="F168" s="143">
        <f>I163</f>
        <v>12787.040650406503</v>
      </c>
      <c r="G168" s="143">
        <f>SUM(B168:F168)</f>
        <v>49778.819411468452</v>
      </c>
      <c r="H168" s="155">
        <f t="shared" ref="H168:H171" si="53">G168/$G$168</f>
        <v>1</v>
      </c>
      <c r="I168" s="148"/>
      <c r="J168" s="152"/>
    </row>
    <row r="169" spans="1:16">
      <c r="A169" s="77" t="s">
        <v>3</v>
      </c>
      <c r="B169" s="156">
        <f t="shared" ref="B169:G169" si="54">B168-B170</f>
        <v>2800.0353982300885</v>
      </c>
      <c r="C169" s="156">
        <f t="shared" si="54"/>
        <v>2206.858407079646</v>
      </c>
      <c r="D169" s="156">
        <f t="shared" si="54"/>
        <v>525.66371681415944</v>
      </c>
      <c r="E169" s="156">
        <f t="shared" si="54"/>
        <v>7466.939469026549</v>
      </c>
      <c r="F169" s="156">
        <f t="shared" si="54"/>
        <v>4219.7234146341452</v>
      </c>
      <c r="G169" s="156">
        <f t="shared" si="54"/>
        <v>17219.220405784588</v>
      </c>
      <c r="H169" s="157">
        <f t="shared" si="53"/>
        <v>0.34591460001193769</v>
      </c>
      <c r="I169" s="77"/>
      <c r="J169" s="152"/>
    </row>
    <row r="170" spans="1:16" ht="15">
      <c r="A170" s="79" t="s">
        <v>4</v>
      </c>
      <c r="B170" s="143">
        <f>50%*B168</f>
        <v>2800.0353982300885</v>
      </c>
      <c r="C170" s="143">
        <f>65%*C168</f>
        <v>4098.4513274336286</v>
      </c>
      <c r="D170" s="143">
        <f>70%*D168</f>
        <v>1226.5486725663718</v>
      </c>
      <c r="E170" s="143">
        <f>68%*E168</f>
        <v>15867.246371681418</v>
      </c>
      <c r="F170" s="143">
        <f>67%*F168</f>
        <v>8567.3172357723579</v>
      </c>
      <c r="G170" s="143">
        <f>SUM(B170:F170)</f>
        <v>32559.599005683864</v>
      </c>
      <c r="H170" s="155">
        <f t="shared" si="53"/>
        <v>0.65408539998806237</v>
      </c>
      <c r="I170" s="79"/>
      <c r="J170" s="152"/>
    </row>
    <row r="171" spans="1:16" ht="15">
      <c r="A171" s="77" t="s">
        <v>116</v>
      </c>
      <c r="B171" s="156">
        <f>20%*B168</f>
        <v>1120.0141592920354</v>
      </c>
      <c r="C171" s="156">
        <f>25%*C168</f>
        <v>1576.3274336283187</v>
      </c>
      <c r="D171" s="156">
        <f>25%*D168</f>
        <v>438.05309734513281</v>
      </c>
      <c r="E171" s="156">
        <f>32%*E168</f>
        <v>7466.9394690265499</v>
      </c>
      <c r="F171" s="156">
        <f>32%*F168</f>
        <v>4091.853008130081</v>
      </c>
      <c r="G171" s="156">
        <f>SUM(B171:F171)</f>
        <v>14693.187167422118</v>
      </c>
      <c r="H171" s="157">
        <f t="shared" si="53"/>
        <v>0.29516945843912445</v>
      </c>
      <c r="I171" s="143">
        <f>G171/19</f>
        <v>773.32564039063777</v>
      </c>
      <c r="J171" s="152"/>
    </row>
    <row r="172" spans="1:16" ht="15">
      <c r="A172" s="79" t="s">
        <v>70</v>
      </c>
      <c r="B172" s="143">
        <f t="shared" ref="B172:G172" si="55">B170-B171</f>
        <v>1680.0212389380531</v>
      </c>
      <c r="C172" s="143">
        <f t="shared" si="55"/>
        <v>2522.1238938053102</v>
      </c>
      <c r="D172" s="143">
        <f t="shared" si="55"/>
        <v>788.49557522123905</v>
      </c>
      <c r="E172" s="143">
        <f t="shared" si="55"/>
        <v>8400.3069026548692</v>
      </c>
      <c r="F172" s="143">
        <f t="shared" si="55"/>
        <v>4475.4642276422765</v>
      </c>
      <c r="G172" s="143">
        <f t="shared" si="55"/>
        <v>17866.411838261745</v>
      </c>
      <c r="H172" s="155">
        <f>G172/$G$168</f>
        <v>0.35891594154893786</v>
      </c>
      <c r="I172" s="79"/>
      <c r="J172" s="152"/>
    </row>
    <row r="174" spans="1:16" ht="15">
      <c r="A174" s="158" t="s">
        <v>445</v>
      </c>
      <c r="B174" s="158"/>
      <c r="C174" s="159"/>
      <c r="D174" s="159"/>
      <c r="E174" s="137"/>
      <c r="F174" s="159"/>
      <c r="G174" s="159"/>
      <c r="H174" s="159"/>
      <c r="I174" s="73"/>
      <c r="J174" s="132"/>
      <c r="K174" s="73"/>
      <c r="L174" s="73"/>
      <c r="M174" s="159"/>
      <c r="N174" s="73"/>
      <c r="O174" s="137"/>
      <c r="P174" s="137"/>
    </row>
    <row r="175" spans="1:16" ht="15">
      <c r="A175" s="158" t="s">
        <v>449</v>
      </c>
      <c r="B175" s="159"/>
      <c r="C175" s="127"/>
      <c r="D175" s="127" t="s">
        <v>342</v>
      </c>
      <c r="E175" s="160" t="s">
        <v>451</v>
      </c>
      <c r="F175" s="161" t="s">
        <v>448</v>
      </c>
      <c r="G175" s="162"/>
      <c r="H175" s="127" t="s">
        <v>450</v>
      </c>
      <c r="I175" s="127" t="s">
        <v>450</v>
      </c>
      <c r="J175" s="160" t="s">
        <v>2</v>
      </c>
      <c r="K175" s="163" t="s">
        <v>447</v>
      </c>
      <c r="L175" s="164"/>
      <c r="M175" s="165"/>
      <c r="N175" s="150" t="s">
        <v>7</v>
      </c>
      <c r="O175" s="166" t="s">
        <v>2</v>
      </c>
      <c r="P175" s="160" t="s">
        <v>2</v>
      </c>
    </row>
    <row r="176" spans="1:16" ht="15">
      <c r="A176" s="159"/>
      <c r="B176" s="159"/>
      <c r="C176" s="128" t="s">
        <v>341</v>
      </c>
      <c r="D176" s="128" t="s">
        <v>439</v>
      </c>
      <c r="E176" s="167" t="s">
        <v>450</v>
      </c>
      <c r="F176" s="168" t="s">
        <v>440</v>
      </c>
      <c r="G176" s="169" t="s">
        <v>346</v>
      </c>
      <c r="H176" s="128" t="s">
        <v>440</v>
      </c>
      <c r="I176" s="128" t="s">
        <v>346</v>
      </c>
      <c r="J176" s="167" t="s">
        <v>7</v>
      </c>
      <c r="K176" s="170" t="s">
        <v>341</v>
      </c>
      <c r="L176" s="170" t="s">
        <v>441</v>
      </c>
      <c r="M176" s="170" t="s">
        <v>343</v>
      </c>
      <c r="N176" s="146" t="s">
        <v>452</v>
      </c>
      <c r="O176" s="171" t="s">
        <v>11</v>
      </c>
      <c r="P176" s="167" t="s">
        <v>442</v>
      </c>
    </row>
    <row r="177" spans="1:16" ht="15">
      <c r="A177" s="186">
        <v>38807</v>
      </c>
      <c r="B177" s="187" t="s">
        <v>212</v>
      </c>
      <c r="C177" s="114">
        <f>240*60%*1.8</f>
        <v>259.2</v>
      </c>
      <c r="D177" s="113"/>
      <c r="E177" s="167"/>
      <c r="F177" s="65"/>
      <c r="G177" s="65"/>
      <c r="H177" s="65"/>
      <c r="I177" s="27"/>
      <c r="J177" s="173"/>
      <c r="K177" s="27"/>
      <c r="L177" s="27"/>
      <c r="M177" s="65"/>
      <c r="N177" s="27"/>
      <c r="O177" s="167"/>
      <c r="P177" s="167"/>
    </row>
    <row r="178" spans="1:16" ht="15">
      <c r="A178" s="186">
        <v>38808</v>
      </c>
      <c r="B178" s="187" t="s">
        <v>213</v>
      </c>
      <c r="C178" s="114">
        <f>240*60%*1.8</f>
        <v>259.2</v>
      </c>
      <c r="D178" s="114">
        <f>C177</f>
        <v>259.2</v>
      </c>
      <c r="E178" s="174">
        <f>(D178*7.5)/1.13</f>
        <v>1720.353982300885</v>
      </c>
      <c r="F178" s="65"/>
      <c r="G178" s="65"/>
      <c r="H178" s="65"/>
      <c r="I178" s="27"/>
      <c r="J178" s="175"/>
      <c r="K178" s="114">
        <f>C178*20%</f>
        <v>51.84</v>
      </c>
      <c r="L178" s="113">
        <v>130</v>
      </c>
      <c r="M178" s="113"/>
      <c r="N178" s="114">
        <f>K178+L178+M178</f>
        <v>181.84</v>
      </c>
      <c r="O178" s="174">
        <f>N178*24.5/1.13</f>
        <v>3942.5486725663718</v>
      </c>
      <c r="P178" s="174">
        <f>N178*14/1.23</f>
        <v>2069.7235772357726</v>
      </c>
    </row>
    <row r="179" spans="1:16" ht="15">
      <c r="A179" s="186">
        <v>38809</v>
      </c>
      <c r="B179" s="187" t="s">
        <v>214</v>
      </c>
      <c r="C179" s="113">
        <f>240*40%*1.5</f>
        <v>144</v>
      </c>
      <c r="D179" s="114">
        <f t="shared" ref="D179:D207" si="56">C178</f>
        <v>259.2</v>
      </c>
      <c r="E179" s="174">
        <f t="shared" ref="E179:E207" si="57">(D179*7.5)/1.13</f>
        <v>1720.353982300885</v>
      </c>
      <c r="F179" s="65"/>
      <c r="G179" s="65"/>
      <c r="H179" s="65"/>
      <c r="I179" s="27"/>
      <c r="J179" s="175"/>
      <c r="K179" s="114">
        <f t="shared" ref="K179:K207" si="58">C179*20%</f>
        <v>28.8</v>
      </c>
      <c r="L179" s="113">
        <v>130</v>
      </c>
      <c r="M179" s="113"/>
      <c r="N179" s="114">
        <f t="shared" ref="N179:N206" si="59">K179+L179+M179</f>
        <v>158.80000000000001</v>
      </c>
      <c r="O179" s="174">
        <f t="shared" ref="O179:O207" si="60">N179*24.5/1.13</f>
        <v>3443.0088495575228</v>
      </c>
      <c r="P179" s="174">
        <f t="shared" ref="P179:P207" si="61">N179*14/1.23</f>
        <v>1807.4796747967482</v>
      </c>
    </row>
    <row r="180" spans="1:16" ht="15">
      <c r="A180" s="186">
        <v>38810</v>
      </c>
      <c r="B180" s="187" t="s">
        <v>208</v>
      </c>
      <c r="C180" s="114">
        <f>240*70%*1.2</f>
        <v>201.6</v>
      </c>
      <c r="D180" s="114">
        <f t="shared" si="56"/>
        <v>144</v>
      </c>
      <c r="E180" s="174">
        <f t="shared" si="57"/>
        <v>955.75221238938059</v>
      </c>
      <c r="F180" s="113">
        <v>120</v>
      </c>
      <c r="G180" s="113"/>
      <c r="H180" s="114">
        <f>(F180*8.9)/1.13</f>
        <v>945.132743362832</v>
      </c>
      <c r="I180" s="23"/>
      <c r="J180" s="174">
        <f>H180+I180</f>
        <v>945.132743362832</v>
      </c>
      <c r="K180" s="114">
        <f t="shared" si="58"/>
        <v>40.32</v>
      </c>
      <c r="L180" s="113">
        <v>40</v>
      </c>
      <c r="M180" s="113"/>
      <c r="N180" s="114">
        <f t="shared" si="59"/>
        <v>80.319999999999993</v>
      </c>
      <c r="O180" s="174">
        <f t="shared" si="60"/>
        <v>1741.4513274336284</v>
      </c>
      <c r="P180" s="174">
        <f t="shared" si="61"/>
        <v>914.21138211382117</v>
      </c>
    </row>
    <row r="181" spans="1:16" ht="15">
      <c r="A181" s="186">
        <v>38811</v>
      </c>
      <c r="B181" s="187" t="s">
        <v>209</v>
      </c>
      <c r="C181" s="114">
        <f>240*70%*1.2</f>
        <v>201.6</v>
      </c>
      <c r="D181" s="114">
        <f t="shared" si="56"/>
        <v>201.6</v>
      </c>
      <c r="E181" s="174">
        <f t="shared" si="57"/>
        <v>1338.053097345133</v>
      </c>
      <c r="F181" s="113">
        <v>120</v>
      </c>
      <c r="G181" s="113">
        <v>90</v>
      </c>
      <c r="H181" s="114">
        <f t="shared" ref="H181:H205" si="62">(F181*8.9)/1.13</f>
        <v>945.132743362832</v>
      </c>
      <c r="I181" s="114">
        <f>G181*15/1.13</f>
        <v>1194.6902654867258</v>
      </c>
      <c r="J181" s="174">
        <f t="shared" ref="J181:J205" si="63">H181+I181</f>
        <v>2139.8230088495579</v>
      </c>
      <c r="K181" s="114">
        <f t="shared" si="58"/>
        <v>40.32</v>
      </c>
      <c r="L181" s="113">
        <v>40</v>
      </c>
      <c r="M181" s="113"/>
      <c r="N181" s="114">
        <f t="shared" si="59"/>
        <v>80.319999999999993</v>
      </c>
      <c r="O181" s="174">
        <f t="shared" si="60"/>
        <v>1741.4513274336284</v>
      </c>
      <c r="P181" s="174">
        <f t="shared" si="61"/>
        <v>914.21138211382117</v>
      </c>
    </row>
    <row r="182" spans="1:16" ht="15">
      <c r="A182" s="186">
        <v>38812</v>
      </c>
      <c r="B182" s="187" t="s">
        <v>210</v>
      </c>
      <c r="C182" s="114">
        <f>240*70%*1.2</f>
        <v>201.6</v>
      </c>
      <c r="D182" s="114">
        <f t="shared" si="56"/>
        <v>201.6</v>
      </c>
      <c r="E182" s="174">
        <f t="shared" si="57"/>
        <v>1338.053097345133</v>
      </c>
      <c r="F182" s="113">
        <v>120</v>
      </c>
      <c r="G182" s="113"/>
      <c r="H182" s="114">
        <f t="shared" si="62"/>
        <v>945.132743362832</v>
      </c>
      <c r="I182" s="114"/>
      <c r="J182" s="174">
        <f t="shared" si="63"/>
        <v>945.132743362832</v>
      </c>
      <c r="K182" s="114">
        <f t="shared" si="58"/>
        <v>40.32</v>
      </c>
      <c r="L182" s="113">
        <v>40</v>
      </c>
      <c r="M182" s="113"/>
      <c r="N182" s="114">
        <f t="shared" si="59"/>
        <v>80.319999999999993</v>
      </c>
      <c r="O182" s="174">
        <f t="shared" si="60"/>
        <v>1741.4513274336284</v>
      </c>
      <c r="P182" s="174">
        <f t="shared" si="61"/>
        <v>914.21138211382117</v>
      </c>
    </row>
    <row r="183" spans="1:16" ht="15">
      <c r="A183" s="186">
        <v>38813</v>
      </c>
      <c r="B183" s="187" t="s">
        <v>211</v>
      </c>
      <c r="C183" s="114">
        <f>240*70%*1.2</f>
        <v>201.6</v>
      </c>
      <c r="D183" s="114">
        <f t="shared" si="56"/>
        <v>201.6</v>
      </c>
      <c r="E183" s="174">
        <f t="shared" si="57"/>
        <v>1338.053097345133</v>
      </c>
      <c r="F183" s="113">
        <v>120</v>
      </c>
      <c r="G183" s="113"/>
      <c r="H183" s="114">
        <f t="shared" si="62"/>
        <v>945.132743362832</v>
      </c>
      <c r="I183" s="114"/>
      <c r="J183" s="174">
        <f t="shared" si="63"/>
        <v>945.132743362832</v>
      </c>
      <c r="K183" s="114">
        <f t="shared" si="58"/>
        <v>40.32</v>
      </c>
      <c r="L183" s="113">
        <v>40</v>
      </c>
      <c r="M183" s="113">
        <v>25</v>
      </c>
      <c r="N183" s="114">
        <f t="shared" si="59"/>
        <v>105.32</v>
      </c>
      <c r="O183" s="174">
        <f t="shared" si="60"/>
        <v>2283.4867256637167</v>
      </c>
      <c r="P183" s="174">
        <f t="shared" si="61"/>
        <v>1198.7642276422764</v>
      </c>
    </row>
    <row r="184" spans="1:16" ht="15">
      <c r="A184" s="186">
        <v>38814</v>
      </c>
      <c r="B184" s="187" t="s">
        <v>212</v>
      </c>
      <c r="C184" s="114">
        <f>240*60%*1.8</f>
        <v>259.2</v>
      </c>
      <c r="D184" s="114">
        <f t="shared" si="56"/>
        <v>201.6</v>
      </c>
      <c r="E184" s="174">
        <f t="shared" si="57"/>
        <v>1338.053097345133</v>
      </c>
      <c r="F184" s="113">
        <v>120</v>
      </c>
      <c r="G184" s="113">
        <v>90</v>
      </c>
      <c r="H184" s="114">
        <f t="shared" si="62"/>
        <v>945.132743362832</v>
      </c>
      <c r="I184" s="114">
        <f>G184*15/1.13</f>
        <v>1194.6902654867258</v>
      </c>
      <c r="J184" s="174">
        <f t="shared" si="63"/>
        <v>2139.8230088495579</v>
      </c>
      <c r="K184" s="114">
        <f t="shared" si="58"/>
        <v>51.84</v>
      </c>
      <c r="L184" s="113">
        <v>108</v>
      </c>
      <c r="M184" s="113"/>
      <c r="N184" s="114">
        <f t="shared" si="59"/>
        <v>159.84</v>
      </c>
      <c r="O184" s="174">
        <f t="shared" si="60"/>
        <v>3465.5575221238942</v>
      </c>
      <c r="P184" s="174">
        <f t="shared" si="61"/>
        <v>1819.3170731707319</v>
      </c>
    </row>
    <row r="185" spans="1:16" ht="15">
      <c r="A185" s="186">
        <v>38815</v>
      </c>
      <c r="B185" s="187" t="s">
        <v>213</v>
      </c>
      <c r="C185" s="114">
        <f>240*60%*1.8</f>
        <v>259.2</v>
      </c>
      <c r="D185" s="114">
        <f t="shared" si="56"/>
        <v>259.2</v>
      </c>
      <c r="E185" s="174">
        <f t="shared" si="57"/>
        <v>1720.353982300885</v>
      </c>
      <c r="F185" s="113"/>
      <c r="G185" s="113"/>
      <c r="H185" s="114"/>
      <c r="I185" s="114"/>
      <c r="J185" s="174"/>
      <c r="K185" s="114">
        <f t="shared" si="58"/>
        <v>51.84</v>
      </c>
      <c r="L185" s="113">
        <v>130</v>
      </c>
      <c r="M185" s="113"/>
      <c r="N185" s="114">
        <f t="shared" si="59"/>
        <v>181.84</v>
      </c>
      <c r="O185" s="174">
        <f t="shared" si="60"/>
        <v>3942.5486725663718</v>
      </c>
      <c r="P185" s="174">
        <f t="shared" si="61"/>
        <v>2069.7235772357726</v>
      </c>
    </row>
    <row r="186" spans="1:16" ht="15">
      <c r="A186" s="186">
        <v>38816</v>
      </c>
      <c r="B186" s="187" t="s">
        <v>214</v>
      </c>
      <c r="C186" s="113">
        <f>240*40%*1.5</f>
        <v>144</v>
      </c>
      <c r="D186" s="114">
        <f t="shared" si="56"/>
        <v>259.2</v>
      </c>
      <c r="E186" s="174">
        <f t="shared" si="57"/>
        <v>1720.353982300885</v>
      </c>
      <c r="F186" s="113"/>
      <c r="G186" s="113"/>
      <c r="H186" s="114"/>
      <c r="I186" s="114"/>
      <c r="J186" s="174"/>
      <c r="K186" s="114">
        <f t="shared" si="58"/>
        <v>28.8</v>
      </c>
      <c r="L186" s="113">
        <v>130</v>
      </c>
      <c r="M186" s="113"/>
      <c r="N186" s="114">
        <f t="shared" si="59"/>
        <v>158.80000000000001</v>
      </c>
      <c r="O186" s="174">
        <f t="shared" si="60"/>
        <v>3443.0088495575228</v>
      </c>
      <c r="P186" s="174">
        <f t="shared" si="61"/>
        <v>1807.4796747967482</v>
      </c>
    </row>
    <row r="187" spans="1:16" ht="15">
      <c r="A187" s="186">
        <v>38817</v>
      </c>
      <c r="B187" s="187" t="s">
        <v>208</v>
      </c>
      <c r="C187" s="114">
        <f>240*70%*1.2</f>
        <v>201.6</v>
      </c>
      <c r="D187" s="114">
        <f t="shared" si="56"/>
        <v>144</v>
      </c>
      <c r="E187" s="174">
        <f t="shared" si="57"/>
        <v>955.75221238938059</v>
      </c>
      <c r="F187" s="113">
        <v>120</v>
      </c>
      <c r="G187" s="113">
        <v>90</v>
      </c>
      <c r="H187" s="114">
        <f t="shared" si="62"/>
        <v>945.132743362832</v>
      </c>
      <c r="I187" s="114">
        <f>G187*15/1.13</f>
        <v>1194.6902654867258</v>
      </c>
      <c r="J187" s="174">
        <f t="shared" si="63"/>
        <v>2139.8230088495579</v>
      </c>
      <c r="K187" s="114">
        <f t="shared" si="58"/>
        <v>40.32</v>
      </c>
      <c r="L187" s="113">
        <v>40</v>
      </c>
      <c r="M187" s="113"/>
      <c r="N187" s="114">
        <f t="shared" si="59"/>
        <v>80.319999999999993</v>
      </c>
      <c r="O187" s="174">
        <f t="shared" si="60"/>
        <v>1741.4513274336284</v>
      </c>
      <c r="P187" s="174">
        <f t="shared" si="61"/>
        <v>914.21138211382117</v>
      </c>
    </row>
    <row r="188" spans="1:16" ht="15">
      <c r="A188" s="186">
        <v>38818</v>
      </c>
      <c r="B188" s="187" t="s">
        <v>209</v>
      </c>
      <c r="C188" s="114">
        <f>240*70%*1.2</f>
        <v>201.6</v>
      </c>
      <c r="D188" s="114">
        <f t="shared" si="56"/>
        <v>201.6</v>
      </c>
      <c r="E188" s="174">
        <f t="shared" si="57"/>
        <v>1338.053097345133</v>
      </c>
      <c r="F188" s="113">
        <v>120</v>
      </c>
      <c r="G188" s="113"/>
      <c r="H188" s="114">
        <f t="shared" si="62"/>
        <v>945.132743362832</v>
      </c>
      <c r="I188" s="114"/>
      <c r="J188" s="174">
        <f t="shared" si="63"/>
        <v>945.132743362832</v>
      </c>
      <c r="K188" s="114">
        <f t="shared" si="58"/>
        <v>40.32</v>
      </c>
      <c r="L188" s="113">
        <v>25</v>
      </c>
      <c r="M188" s="113">
        <v>95</v>
      </c>
      <c r="N188" s="114">
        <f t="shared" si="59"/>
        <v>160.32</v>
      </c>
      <c r="O188" s="174">
        <f t="shared" si="60"/>
        <v>3475.9646017699115</v>
      </c>
      <c r="P188" s="174">
        <f t="shared" si="61"/>
        <v>1824.780487804878</v>
      </c>
    </row>
    <row r="189" spans="1:16" ht="15">
      <c r="A189" s="186">
        <v>38819</v>
      </c>
      <c r="B189" s="187" t="s">
        <v>210</v>
      </c>
      <c r="C189" s="114">
        <f>240*70%*1.2</f>
        <v>201.6</v>
      </c>
      <c r="D189" s="114">
        <f t="shared" si="56"/>
        <v>201.6</v>
      </c>
      <c r="E189" s="174">
        <f t="shared" si="57"/>
        <v>1338.053097345133</v>
      </c>
      <c r="F189" s="113">
        <v>120</v>
      </c>
      <c r="G189" s="113">
        <v>90</v>
      </c>
      <c r="H189" s="114">
        <f t="shared" si="62"/>
        <v>945.132743362832</v>
      </c>
      <c r="I189" s="114">
        <f>G189*15/1.13</f>
        <v>1194.6902654867258</v>
      </c>
      <c r="J189" s="174">
        <f t="shared" si="63"/>
        <v>2139.8230088495579</v>
      </c>
      <c r="K189" s="114">
        <f t="shared" si="58"/>
        <v>40.32</v>
      </c>
      <c r="L189" s="113">
        <v>40</v>
      </c>
      <c r="M189" s="113"/>
      <c r="N189" s="114">
        <f t="shared" si="59"/>
        <v>80.319999999999993</v>
      </c>
      <c r="O189" s="174">
        <f t="shared" si="60"/>
        <v>1741.4513274336284</v>
      </c>
      <c r="P189" s="174">
        <f t="shared" si="61"/>
        <v>914.21138211382117</v>
      </c>
    </row>
    <row r="190" spans="1:16" ht="15">
      <c r="A190" s="186">
        <v>38820</v>
      </c>
      <c r="B190" s="187" t="s">
        <v>211</v>
      </c>
      <c r="C190" s="113">
        <v>0</v>
      </c>
      <c r="D190" s="114">
        <f t="shared" si="56"/>
        <v>201.6</v>
      </c>
      <c r="E190" s="174">
        <f t="shared" si="57"/>
        <v>1338.053097345133</v>
      </c>
      <c r="F190" s="113">
        <v>120</v>
      </c>
      <c r="G190" s="113"/>
      <c r="H190" s="114">
        <f t="shared" si="62"/>
        <v>945.132743362832</v>
      </c>
      <c r="I190" s="114"/>
      <c r="J190" s="174">
        <f t="shared" si="63"/>
        <v>945.132743362832</v>
      </c>
      <c r="K190" s="114">
        <v>0</v>
      </c>
      <c r="L190" s="113">
        <v>40</v>
      </c>
      <c r="M190" s="113"/>
      <c r="N190" s="114">
        <f t="shared" si="59"/>
        <v>40</v>
      </c>
      <c r="O190" s="174">
        <f t="shared" si="60"/>
        <v>867.25663716814165</v>
      </c>
      <c r="P190" s="174">
        <f t="shared" si="61"/>
        <v>455.28455284552848</v>
      </c>
    </row>
    <row r="191" spans="1:16" ht="15">
      <c r="A191" s="188">
        <v>38821</v>
      </c>
      <c r="B191" s="189" t="s">
        <v>212</v>
      </c>
      <c r="C191" s="182">
        <v>0</v>
      </c>
      <c r="D191" s="114">
        <f t="shared" si="56"/>
        <v>0</v>
      </c>
      <c r="E191" s="174">
        <f t="shared" si="57"/>
        <v>0</v>
      </c>
      <c r="F191" s="113"/>
      <c r="G191" s="113"/>
      <c r="H191" s="114"/>
      <c r="I191" s="114"/>
      <c r="J191" s="174"/>
      <c r="K191" s="114">
        <v>0</v>
      </c>
      <c r="L191" s="113">
        <v>0</v>
      </c>
      <c r="M191" s="113"/>
      <c r="N191" s="114">
        <f t="shared" si="59"/>
        <v>0</v>
      </c>
      <c r="O191" s="174">
        <f t="shared" si="60"/>
        <v>0</v>
      </c>
      <c r="P191" s="174">
        <f t="shared" si="61"/>
        <v>0</v>
      </c>
    </row>
    <row r="192" spans="1:16" ht="15">
      <c r="A192" s="186">
        <v>38822</v>
      </c>
      <c r="B192" s="187" t="s">
        <v>213</v>
      </c>
      <c r="C192" s="114">
        <f>240*60%*1.8</f>
        <v>259.2</v>
      </c>
      <c r="D192" s="114">
        <f t="shared" si="56"/>
        <v>0</v>
      </c>
      <c r="E192" s="174">
        <f t="shared" si="57"/>
        <v>0</v>
      </c>
      <c r="F192" s="113"/>
      <c r="G192" s="113"/>
      <c r="H192" s="114"/>
      <c r="I192" s="114"/>
      <c r="J192" s="174"/>
      <c r="K192" s="114">
        <f t="shared" si="58"/>
        <v>51.84</v>
      </c>
      <c r="L192" s="113">
        <v>130</v>
      </c>
      <c r="M192" s="113"/>
      <c r="N192" s="114">
        <f t="shared" si="59"/>
        <v>181.84</v>
      </c>
      <c r="O192" s="174">
        <f t="shared" si="60"/>
        <v>3942.5486725663718</v>
      </c>
      <c r="P192" s="174">
        <f t="shared" si="61"/>
        <v>2069.7235772357726</v>
      </c>
    </row>
    <row r="193" spans="1:16" ht="15">
      <c r="A193" s="188">
        <v>38823</v>
      </c>
      <c r="B193" s="189" t="s">
        <v>214</v>
      </c>
      <c r="C193" s="113">
        <f>240*40%*1.5</f>
        <v>144</v>
      </c>
      <c r="D193" s="114">
        <f t="shared" si="56"/>
        <v>259.2</v>
      </c>
      <c r="E193" s="174">
        <f t="shared" si="57"/>
        <v>1720.353982300885</v>
      </c>
      <c r="F193" s="113"/>
      <c r="G193" s="113"/>
      <c r="H193" s="114"/>
      <c r="I193" s="114"/>
      <c r="J193" s="174"/>
      <c r="K193" s="114">
        <f t="shared" si="58"/>
        <v>28.8</v>
      </c>
      <c r="L193" s="113">
        <v>130</v>
      </c>
      <c r="M193" s="113">
        <v>60</v>
      </c>
      <c r="N193" s="114">
        <f t="shared" si="59"/>
        <v>218.8</v>
      </c>
      <c r="O193" s="174">
        <f t="shared" si="60"/>
        <v>4743.8938053097354</v>
      </c>
      <c r="P193" s="174">
        <f t="shared" si="61"/>
        <v>2490.4065040650407</v>
      </c>
    </row>
    <row r="194" spans="1:16" ht="15">
      <c r="A194" s="188">
        <v>38824</v>
      </c>
      <c r="B194" s="189" t="s">
        <v>208</v>
      </c>
      <c r="C194" s="113">
        <f>240*40%*1.5</f>
        <v>144</v>
      </c>
      <c r="D194" s="114">
        <f t="shared" si="56"/>
        <v>144</v>
      </c>
      <c r="E194" s="174">
        <f t="shared" si="57"/>
        <v>955.75221238938059</v>
      </c>
      <c r="F194" s="113"/>
      <c r="G194" s="113"/>
      <c r="H194" s="114"/>
      <c r="I194" s="114"/>
      <c r="J194" s="174"/>
      <c r="K194" s="114">
        <f t="shared" si="58"/>
        <v>28.8</v>
      </c>
      <c r="L194" s="113">
        <v>130</v>
      </c>
      <c r="M194" s="113"/>
      <c r="N194" s="114">
        <f t="shared" si="59"/>
        <v>158.80000000000001</v>
      </c>
      <c r="O194" s="174">
        <f t="shared" si="60"/>
        <v>3443.0088495575228</v>
      </c>
      <c r="P194" s="174">
        <f t="shared" si="61"/>
        <v>1807.4796747967482</v>
      </c>
    </row>
    <row r="195" spans="1:16" ht="15">
      <c r="A195" s="186">
        <v>38825</v>
      </c>
      <c r="B195" s="187" t="s">
        <v>209</v>
      </c>
      <c r="C195" s="114">
        <f>240*70%*1.2</f>
        <v>201.6</v>
      </c>
      <c r="D195" s="114">
        <f t="shared" si="56"/>
        <v>144</v>
      </c>
      <c r="E195" s="174">
        <f t="shared" si="57"/>
        <v>955.75221238938059</v>
      </c>
      <c r="F195" s="113">
        <v>120</v>
      </c>
      <c r="G195" s="113"/>
      <c r="H195" s="114">
        <f t="shared" si="62"/>
        <v>945.132743362832</v>
      </c>
      <c r="I195" s="114"/>
      <c r="J195" s="174">
        <f t="shared" si="63"/>
        <v>945.132743362832</v>
      </c>
      <c r="K195" s="114">
        <f t="shared" si="58"/>
        <v>40.32</v>
      </c>
      <c r="L195" s="113">
        <v>40</v>
      </c>
      <c r="M195" s="113"/>
      <c r="N195" s="114">
        <f t="shared" si="59"/>
        <v>80.319999999999993</v>
      </c>
      <c r="O195" s="174">
        <f t="shared" si="60"/>
        <v>1741.4513274336284</v>
      </c>
      <c r="P195" s="174">
        <f t="shared" si="61"/>
        <v>914.21138211382117</v>
      </c>
    </row>
    <row r="196" spans="1:16" ht="15">
      <c r="A196" s="186">
        <v>38826</v>
      </c>
      <c r="B196" s="187" t="s">
        <v>210</v>
      </c>
      <c r="C196" s="114">
        <f>240*70%*1.2</f>
        <v>201.6</v>
      </c>
      <c r="D196" s="114">
        <f t="shared" si="56"/>
        <v>201.6</v>
      </c>
      <c r="E196" s="174">
        <f t="shared" si="57"/>
        <v>1338.053097345133</v>
      </c>
      <c r="F196" s="113">
        <v>120</v>
      </c>
      <c r="G196" s="113">
        <v>90</v>
      </c>
      <c r="H196" s="114">
        <f t="shared" si="62"/>
        <v>945.132743362832</v>
      </c>
      <c r="I196" s="114">
        <f>G196*15/1.13</f>
        <v>1194.6902654867258</v>
      </c>
      <c r="J196" s="174">
        <f t="shared" si="63"/>
        <v>2139.8230088495579</v>
      </c>
      <c r="K196" s="114">
        <f t="shared" si="58"/>
        <v>40.32</v>
      </c>
      <c r="L196" s="113">
        <v>40</v>
      </c>
      <c r="M196" s="113"/>
      <c r="N196" s="114">
        <f t="shared" si="59"/>
        <v>80.319999999999993</v>
      </c>
      <c r="O196" s="174">
        <f t="shared" si="60"/>
        <v>1741.4513274336284</v>
      </c>
      <c r="P196" s="174">
        <f t="shared" si="61"/>
        <v>914.21138211382117</v>
      </c>
    </row>
    <row r="197" spans="1:16" ht="15">
      <c r="A197" s="186">
        <v>38827</v>
      </c>
      <c r="B197" s="187" t="s">
        <v>211</v>
      </c>
      <c r="C197" s="114">
        <f>240*70%*1.2</f>
        <v>201.6</v>
      </c>
      <c r="D197" s="114">
        <f t="shared" si="56"/>
        <v>201.6</v>
      </c>
      <c r="E197" s="174">
        <f t="shared" si="57"/>
        <v>1338.053097345133</v>
      </c>
      <c r="F197" s="113">
        <v>120</v>
      </c>
      <c r="G197" s="113">
        <v>90</v>
      </c>
      <c r="H197" s="114">
        <f t="shared" si="62"/>
        <v>945.132743362832</v>
      </c>
      <c r="I197" s="114">
        <f>G197*15/1.13</f>
        <v>1194.6902654867258</v>
      </c>
      <c r="J197" s="174">
        <f t="shared" si="63"/>
        <v>2139.8230088495579</v>
      </c>
      <c r="K197" s="114">
        <f t="shared" si="58"/>
        <v>40.32</v>
      </c>
      <c r="L197" s="113">
        <v>10</v>
      </c>
      <c r="M197" s="113">
        <v>110</v>
      </c>
      <c r="N197" s="114">
        <f t="shared" si="59"/>
        <v>160.32</v>
      </c>
      <c r="O197" s="174">
        <f t="shared" si="60"/>
        <v>3475.9646017699115</v>
      </c>
      <c r="P197" s="174">
        <f t="shared" si="61"/>
        <v>1824.780487804878</v>
      </c>
    </row>
    <row r="198" spans="1:16" ht="15">
      <c r="A198" s="186">
        <v>38828</v>
      </c>
      <c r="B198" s="187" t="s">
        <v>212</v>
      </c>
      <c r="C198" s="114">
        <f>240*60%*1.8</f>
        <v>259.2</v>
      </c>
      <c r="D198" s="114">
        <f t="shared" si="56"/>
        <v>201.6</v>
      </c>
      <c r="E198" s="174">
        <f t="shared" si="57"/>
        <v>1338.053097345133</v>
      </c>
      <c r="F198" s="113">
        <v>120</v>
      </c>
      <c r="G198" s="113"/>
      <c r="H198" s="114">
        <f t="shared" si="62"/>
        <v>945.132743362832</v>
      </c>
      <c r="I198" s="114"/>
      <c r="J198" s="174">
        <f t="shared" si="63"/>
        <v>945.132743362832</v>
      </c>
      <c r="K198" s="114">
        <f t="shared" si="58"/>
        <v>51.84</v>
      </c>
      <c r="L198" s="113">
        <v>108</v>
      </c>
      <c r="M198" s="113"/>
      <c r="N198" s="114">
        <f t="shared" si="59"/>
        <v>159.84</v>
      </c>
      <c r="O198" s="174">
        <f t="shared" si="60"/>
        <v>3465.5575221238942</v>
      </c>
      <c r="P198" s="174">
        <f t="shared" si="61"/>
        <v>1819.3170731707319</v>
      </c>
    </row>
    <row r="199" spans="1:16" ht="15">
      <c r="A199" s="186">
        <v>38829</v>
      </c>
      <c r="B199" s="187" t="s">
        <v>213</v>
      </c>
      <c r="C199" s="114">
        <f>240*60%*1.8</f>
        <v>259.2</v>
      </c>
      <c r="D199" s="114">
        <f t="shared" si="56"/>
        <v>259.2</v>
      </c>
      <c r="E199" s="174">
        <f t="shared" si="57"/>
        <v>1720.353982300885</v>
      </c>
      <c r="F199" s="113"/>
      <c r="G199" s="113"/>
      <c r="H199" s="114"/>
      <c r="I199" s="114"/>
      <c r="J199" s="174"/>
      <c r="K199" s="114">
        <f t="shared" si="58"/>
        <v>51.84</v>
      </c>
      <c r="L199" s="113">
        <v>130</v>
      </c>
      <c r="M199" s="113"/>
      <c r="N199" s="114">
        <f t="shared" si="59"/>
        <v>181.84</v>
      </c>
      <c r="O199" s="174">
        <f t="shared" si="60"/>
        <v>3942.5486725663718</v>
      </c>
      <c r="P199" s="174">
        <f t="shared" si="61"/>
        <v>2069.7235772357726</v>
      </c>
    </row>
    <row r="200" spans="1:16" ht="15">
      <c r="A200" s="186">
        <v>38830</v>
      </c>
      <c r="B200" s="187" t="s">
        <v>214</v>
      </c>
      <c r="C200" s="113">
        <f>240*40%*1.5</f>
        <v>144</v>
      </c>
      <c r="D200" s="114">
        <f t="shared" si="56"/>
        <v>259.2</v>
      </c>
      <c r="E200" s="174">
        <f t="shared" si="57"/>
        <v>1720.353982300885</v>
      </c>
      <c r="F200" s="113"/>
      <c r="G200" s="113"/>
      <c r="H200" s="114"/>
      <c r="I200" s="114"/>
      <c r="J200" s="174"/>
      <c r="K200" s="114">
        <f t="shared" si="58"/>
        <v>28.8</v>
      </c>
      <c r="L200" s="113">
        <v>130</v>
      </c>
      <c r="M200" s="113"/>
      <c r="N200" s="114">
        <f t="shared" si="59"/>
        <v>158.80000000000001</v>
      </c>
      <c r="O200" s="174">
        <f t="shared" si="60"/>
        <v>3443.0088495575228</v>
      </c>
      <c r="P200" s="174">
        <f t="shared" si="61"/>
        <v>1807.4796747967482</v>
      </c>
    </row>
    <row r="201" spans="1:16" ht="15">
      <c r="A201" s="186">
        <v>38831</v>
      </c>
      <c r="B201" s="187" t="s">
        <v>208</v>
      </c>
      <c r="C201" s="114">
        <f>240*70%*1.2</f>
        <v>201.6</v>
      </c>
      <c r="D201" s="114">
        <f t="shared" si="56"/>
        <v>144</v>
      </c>
      <c r="E201" s="174">
        <f t="shared" si="57"/>
        <v>955.75221238938059</v>
      </c>
      <c r="F201" s="113">
        <v>120</v>
      </c>
      <c r="G201" s="113"/>
      <c r="H201" s="114">
        <f t="shared" si="62"/>
        <v>945.132743362832</v>
      </c>
      <c r="I201" s="114"/>
      <c r="J201" s="174">
        <f t="shared" si="63"/>
        <v>945.132743362832</v>
      </c>
      <c r="K201" s="114">
        <f t="shared" si="58"/>
        <v>40.32</v>
      </c>
      <c r="L201" s="113">
        <v>40</v>
      </c>
      <c r="M201" s="113"/>
      <c r="N201" s="114">
        <f t="shared" si="59"/>
        <v>80.319999999999993</v>
      </c>
      <c r="O201" s="174">
        <f t="shared" si="60"/>
        <v>1741.4513274336284</v>
      </c>
      <c r="P201" s="174">
        <f t="shared" si="61"/>
        <v>914.21138211382117</v>
      </c>
    </row>
    <row r="202" spans="1:16" ht="15">
      <c r="A202" s="186">
        <v>38832</v>
      </c>
      <c r="B202" s="187" t="s">
        <v>209</v>
      </c>
      <c r="C202" s="114">
        <f>240*70%*1.2</f>
        <v>201.6</v>
      </c>
      <c r="D202" s="114">
        <f t="shared" si="56"/>
        <v>201.6</v>
      </c>
      <c r="E202" s="174">
        <f t="shared" si="57"/>
        <v>1338.053097345133</v>
      </c>
      <c r="F202" s="113">
        <v>120</v>
      </c>
      <c r="G202" s="113"/>
      <c r="H202" s="114">
        <f t="shared" si="62"/>
        <v>945.132743362832</v>
      </c>
      <c r="I202" s="114"/>
      <c r="J202" s="174">
        <f t="shared" si="63"/>
        <v>945.132743362832</v>
      </c>
      <c r="K202" s="114">
        <f t="shared" si="58"/>
        <v>40.32</v>
      </c>
      <c r="L202" s="113">
        <v>40</v>
      </c>
      <c r="M202" s="113"/>
      <c r="N202" s="114">
        <f t="shared" si="59"/>
        <v>80.319999999999993</v>
      </c>
      <c r="O202" s="174">
        <f t="shared" si="60"/>
        <v>1741.4513274336284</v>
      </c>
      <c r="P202" s="174">
        <f t="shared" si="61"/>
        <v>914.21138211382117</v>
      </c>
    </row>
    <row r="203" spans="1:16" ht="15">
      <c r="A203" s="186">
        <v>38833</v>
      </c>
      <c r="B203" s="187" t="s">
        <v>210</v>
      </c>
      <c r="C203" s="114">
        <f>240*70%*1.2</f>
        <v>201.6</v>
      </c>
      <c r="D203" s="114">
        <f t="shared" si="56"/>
        <v>201.6</v>
      </c>
      <c r="E203" s="174">
        <f t="shared" si="57"/>
        <v>1338.053097345133</v>
      </c>
      <c r="F203" s="113">
        <v>120</v>
      </c>
      <c r="G203" s="113"/>
      <c r="H203" s="114">
        <f t="shared" si="62"/>
        <v>945.132743362832</v>
      </c>
      <c r="I203" s="114"/>
      <c r="J203" s="174">
        <f t="shared" si="63"/>
        <v>945.132743362832</v>
      </c>
      <c r="K203" s="114">
        <f t="shared" si="58"/>
        <v>40.32</v>
      </c>
      <c r="L203" s="113">
        <v>40</v>
      </c>
      <c r="M203" s="113">
        <v>50</v>
      </c>
      <c r="N203" s="114">
        <f t="shared" si="59"/>
        <v>130.32</v>
      </c>
      <c r="O203" s="174">
        <f t="shared" si="60"/>
        <v>2825.5221238938052</v>
      </c>
      <c r="P203" s="174">
        <f t="shared" si="61"/>
        <v>1483.3170731707316</v>
      </c>
    </row>
    <row r="204" spans="1:16" ht="15">
      <c r="A204" s="186">
        <v>38834</v>
      </c>
      <c r="B204" s="187" t="s">
        <v>211</v>
      </c>
      <c r="C204" s="114">
        <f>240*70%*1.2</f>
        <v>201.6</v>
      </c>
      <c r="D204" s="114">
        <f t="shared" si="56"/>
        <v>201.6</v>
      </c>
      <c r="E204" s="174">
        <f t="shared" si="57"/>
        <v>1338.053097345133</v>
      </c>
      <c r="F204" s="113">
        <v>120</v>
      </c>
      <c r="G204" s="113">
        <v>90</v>
      </c>
      <c r="H204" s="114">
        <f t="shared" si="62"/>
        <v>945.132743362832</v>
      </c>
      <c r="I204" s="114">
        <f>G204*15/1.13</f>
        <v>1194.6902654867258</v>
      </c>
      <c r="J204" s="174">
        <f t="shared" si="63"/>
        <v>2139.8230088495579</v>
      </c>
      <c r="K204" s="114">
        <f t="shared" si="58"/>
        <v>40.32</v>
      </c>
      <c r="L204" s="113">
        <v>40</v>
      </c>
      <c r="M204" s="113"/>
      <c r="N204" s="114">
        <f t="shared" si="59"/>
        <v>80.319999999999993</v>
      </c>
      <c r="O204" s="174">
        <f t="shared" si="60"/>
        <v>1741.4513274336284</v>
      </c>
      <c r="P204" s="174">
        <f t="shared" si="61"/>
        <v>914.21138211382117</v>
      </c>
    </row>
    <row r="205" spans="1:16" ht="15">
      <c r="A205" s="186">
        <v>38835</v>
      </c>
      <c r="B205" s="187" t="s">
        <v>212</v>
      </c>
      <c r="C205" s="114">
        <f>240*60%*1.8</f>
        <v>259.2</v>
      </c>
      <c r="D205" s="114">
        <f t="shared" si="56"/>
        <v>201.6</v>
      </c>
      <c r="E205" s="174">
        <f t="shared" si="57"/>
        <v>1338.053097345133</v>
      </c>
      <c r="F205" s="113">
        <v>120</v>
      </c>
      <c r="G205" s="113"/>
      <c r="H205" s="114">
        <f t="shared" si="62"/>
        <v>945.132743362832</v>
      </c>
      <c r="I205" s="114"/>
      <c r="J205" s="174">
        <f t="shared" si="63"/>
        <v>945.132743362832</v>
      </c>
      <c r="K205" s="114">
        <f t="shared" si="58"/>
        <v>51.84</v>
      </c>
      <c r="L205" s="113">
        <v>108</v>
      </c>
      <c r="M205" s="113"/>
      <c r="N205" s="114">
        <f t="shared" si="59"/>
        <v>159.84</v>
      </c>
      <c r="O205" s="174">
        <f t="shared" si="60"/>
        <v>3465.5575221238942</v>
      </c>
      <c r="P205" s="174">
        <f t="shared" si="61"/>
        <v>1819.3170731707319</v>
      </c>
    </row>
    <row r="206" spans="1:16" ht="15">
      <c r="A206" s="186">
        <v>38836</v>
      </c>
      <c r="B206" s="187" t="s">
        <v>213</v>
      </c>
      <c r="C206" s="114">
        <f>240*60%*1.8</f>
        <v>259.2</v>
      </c>
      <c r="D206" s="114">
        <f t="shared" si="56"/>
        <v>259.2</v>
      </c>
      <c r="E206" s="174">
        <f t="shared" si="57"/>
        <v>1720.353982300885</v>
      </c>
      <c r="F206" s="65"/>
      <c r="G206" s="65"/>
      <c r="H206" s="116"/>
      <c r="I206" s="116"/>
      <c r="J206" s="174"/>
      <c r="K206" s="114">
        <f t="shared" si="58"/>
        <v>51.84</v>
      </c>
      <c r="L206" s="113">
        <v>130</v>
      </c>
      <c r="M206" s="113">
        <v>90</v>
      </c>
      <c r="N206" s="114">
        <f t="shared" si="59"/>
        <v>271.84000000000003</v>
      </c>
      <c r="O206" s="174">
        <f t="shared" si="60"/>
        <v>5893.8761061946916</v>
      </c>
      <c r="P206" s="174">
        <f t="shared" si="61"/>
        <v>3094.1138211382117</v>
      </c>
    </row>
    <row r="207" spans="1:16" ht="15">
      <c r="A207" s="186">
        <v>38837</v>
      </c>
      <c r="B207" s="187" t="s">
        <v>214</v>
      </c>
      <c r="C207" s="113">
        <f>240*40%*1.5</f>
        <v>144</v>
      </c>
      <c r="D207" s="114">
        <f t="shared" si="56"/>
        <v>259.2</v>
      </c>
      <c r="E207" s="174">
        <f t="shared" si="57"/>
        <v>1720.353982300885</v>
      </c>
      <c r="F207" s="65"/>
      <c r="G207" s="65"/>
      <c r="H207" s="116"/>
      <c r="I207" s="116"/>
      <c r="J207" s="174"/>
      <c r="K207" s="114">
        <f t="shared" si="58"/>
        <v>28.8</v>
      </c>
      <c r="L207" s="113">
        <v>130</v>
      </c>
      <c r="M207" s="113"/>
      <c r="N207" s="114">
        <f>K207+L207+M207</f>
        <v>158.80000000000001</v>
      </c>
      <c r="O207" s="174">
        <f t="shared" si="60"/>
        <v>3443.0088495575228</v>
      </c>
      <c r="P207" s="174">
        <f t="shared" si="61"/>
        <v>1807.4796747967482</v>
      </c>
    </row>
    <row r="208" spans="1:16" ht="15">
      <c r="A208" s="159" t="s">
        <v>254</v>
      </c>
      <c r="B208" s="159"/>
      <c r="C208" s="159"/>
      <c r="D208" s="159"/>
      <c r="E208" s="174">
        <f>SUM(E178:E207)</f>
        <v>38994.690265486708</v>
      </c>
      <c r="F208" s="159"/>
      <c r="G208" s="159"/>
      <c r="H208" s="159"/>
      <c r="I208" s="73"/>
      <c r="J208" s="176">
        <f>SUM(J178:J207)</f>
        <v>25375.221238938058</v>
      </c>
      <c r="K208" s="73"/>
      <c r="L208" s="73"/>
      <c r="M208" s="159"/>
      <c r="N208" s="73"/>
      <c r="O208" s="174">
        <f>SUM(O178:O207)</f>
        <v>84362.389380530993</v>
      </c>
      <c r="P208" s="174">
        <f>SUM(P178:P207)</f>
        <v>44287.804878048781</v>
      </c>
    </row>
    <row r="209" spans="1:18" ht="15">
      <c r="A209" s="159"/>
      <c r="B209" s="159"/>
      <c r="C209" s="159"/>
      <c r="D209" s="159"/>
      <c r="E209" s="137"/>
      <c r="F209" s="159"/>
      <c r="G209" s="159"/>
      <c r="H209" s="159"/>
      <c r="I209" s="132"/>
      <c r="J209" s="132"/>
      <c r="K209" s="132"/>
      <c r="L209" s="73"/>
      <c r="M209" s="159"/>
      <c r="N209" s="73"/>
      <c r="O209" s="137"/>
      <c r="P209" s="137"/>
    </row>
    <row r="210" spans="1:18" ht="15">
      <c r="A210" s="158" t="s">
        <v>446</v>
      </c>
      <c r="B210" s="159"/>
      <c r="C210" s="159"/>
      <c r="D210" s="159"/>
      <c r="E210" s="137"/>
      <c r="F210" s="159"/>
      <c r="G210" s="159"/>
      <c r="H210" s="159"/>
      <c r="I210" s="132"/>
      <c r="J210" s="132"/>
      <c r="K210" s="132"/>
      <c r="L210" s="73"/>
      <c r="M210" s="159"/>
      <c r="N210" s="73"/>
      <c r="O210" s="137"/>
      <c r="P210" s="137"/>
    </row>
    <row r="211" spans="1:18" ht="15">
      <c r="A211" s="158"/>
      <c r="B211" s="159"/>
      <c r="C211" s="177" t="s">
        <v>260</v>
      </c>
      <c r="D211" s="178"/>
      <c r="E211" s="134" t="s">
        <v>455</v>
      </c>
      <c r="F211" s="179" t="s">
        <v>443</v>
      </c>
      <c r="G211" s="177" t="s">
        <v>454</v>
      </c>
      <c r="H211" s="125"/>
      <c r="I211" s="125"/>
      <c r="J211" s="190"/>
      <c r="K211" s="191" t="s">
        <v>455</v>
      </c>
      <c r="L211" s="179" t="s">
        <v>443</v>
      </c>
      <c r="M211" s="177" t="s">
        <v>460</v>
      </c>
      <c r="N211" s="126"/>
      <c r="O211" s="126"/>
      <c r="P211" s="124"/>
      <c r="Q211" s="134" t="s">
        <v>455</v>
      </c>
      <c r="R211" s="127" t="s">
        <v>443</v>
      </c>
    </row>
    <row r="212" spans="1:18" ht="15">
      <c r="A212" s="172"/>
      <c r="B212" s="159"/>
      <c r="C212" s="128" t="s">
        <v>2</v>
      </c>
      <c r="D212" s="168" t="s">
        <v>3</v>
      </c>
      <c r="E212" s="146" t="s">
        <v>237</v>
      </c>
      <c r="F212" s="128" t="s">
        <v>444</v>
      </c>
      <c r="G212" s="169" t="s">
        <v>453</v>
      </c>
      <c r="H212" s="128" t="s">
        <v>3</v>
      </c>
      <c r="I212" s="128" t="s">
        <v>330</v>
      </c>
      <c r="J212" s="168" t="s">
        <v>3</v>
      </c>
      <c r="K212" s="192" t="s">
        <v>237</v>
      </c>
      <c r="L212" s="168" t="s">
        <v>444</v>
      </c>
      <c r="M212" s="128" t="s">
        <v>461</v>
      </c>
      <c r="N212" s="128" t="s">
        <v>3</v>
      </c>
      <c r="O212" s="65" t="s">
        <v>462</v>
      </c>
      <c r="P212" s="65" t="s">
        <v>3</v>
      </c>
      <c r="Q212" s="170" t="s">
        <v>237</v>
      </c>
      <c r="R212" s="128" t="s">
        <v>444</v>
      </c>
    </row>
    <row r="213" spans="1:18">
      <c r="A213" s="186">
        <v>38808</v>
      </c>
      <c r="B213" s="187" t="s">
        <v>213</v>
      </c>
      <c r="C213" s="114">
        <f>E178</f>
        <v>1720.353982300885</v>
      </c>
      <c r="D213" s="114">
        <f>55%*C213</f>
        <v>946.19469026548688</v>
      </c>
      <c r="E213" s="183">
        <f>20%*C213</f>
        <v>344.07079646017701</v>
      </c>
      <c r="F213" s="184">
        <f>E213/16</f>
        <v>21.504424778761063</v>
      </c>
      <c r="G213" s="114">
        <f>H178</f>
        <v>0</v>
      </c>
      <c r="H213" s="114">
        <f>40%*G213</f>
        <v>0</v>
      </c>
      <c r="I213" s="114">
        <f>I178</f>
        <v>0</v>
      </c>
      <c r="J213" s="185">
        <f>35%*I213</f>
        <v>0</v>
      </c>
      <c r="K213" s="193">
        <f>25%*(G213+I213)</f>
        <v>0</v>
      </c>
      <c r="L213" s="184">
        <f>K213/16</f>
        <v>0</v>
      </c>
      <c r="M213" s="184">
        <f>O178</f>
        <v>3942.5486725663718</v>
      </c>
      <c r="N213" s="114">
        <f>30%*M213</f>
        <v>1182.7646017699115</v>
      </c>
      <c r="O213" s="114">
        <f>P178</f>
        <v>2069.7235772357726</v>
      </c>
      <c r="P213" s="114">
        <f>36%*O213</f>
        <v>745.10048780487807</v>
      </c>
      <c r="Q213" s="195">
        <f>32%*(M213+O213)</f>
        <v>1923.9271199366865</v>
      </c>
      <c r="R213" s="185">
        <f>Q213/16</f>
        <v>120.24544499604291</v>
      </c>
    </row>
    <row r="214" spans="1:18">
      <c r="A214" s="186">
        <v>38809</v>
      </c>
      <c r="B214" s="187" t="s">
        <v>214</v>
      </c>
      <c r="C214" s="114">
        <f t="shared" ref="C214:C243" si="64">E179</f>
        <v>1720.353982300885</v>
      </c>
      <c r="D214" s="114">
        <f t="shared" ref="D214:D243" si="65">55%*C214</f>
        <v>946.19469026548688</v>
      </c>
      <c r="E214" s="185">
        <f t="shared" ref="E214:E243" si="66">20%*C214</f>
        <v>344.07079646017701</v>
      </c>
      <c r="F214" s="114">
        <f t="shared" ref="F214:F243" si="67">E214/16</f>
        <v>21.504424778761063</v>
      </c>
      <c r="G214" s="114">
        <f t="shared" ref="G214:G242" si="68">H179</f>
        <v>0</v>
      </c>
      <c r="H214" s="114">
        <f t="shared" ref="H214:H243" si="69">40%*G214</f>
        <v>0</v>
      </c>
      <c r="I214" s="114">
        <f t="shared" ref="I214:I242" si="70">I179</f>
        <v>0</v>
      </c>
      <c r="J214" s="185">
        <f t="shared" ref="J214:J243" si="71">35%*I214</f>
        <v>0</v>
      </c>
      <c r="K214" s="193">
        <f t="shared" ref="K214:K243" si="72">25%*(G214+I214)</f>
        <v>0</v>
      </c>
      <c r="L214" s="184">
        <f t="shared" ref="L214:L243" si="73">K214/16</f>
        <v>0</v>
      </c>
      <c r="M214" s="184">
        <f t="shared" ref="M214:M242" si="74">O179</f>
        <v>3443.0088495575228</v>
      </c>
      <c r="N214" s="114">
        <f t="shared" ref="N214:N242" si="75">30%*M214</f>
        <v>1032.9026548672568</v>
      </c>
      <c r="O214" s="114">
        <f t="shared" ref="O214:O242" si="76">P179</f>
        <v>1807.4796747967482</v>
      </c>
      <c r="P214" s="114">
        <f t="shared" ref="P214:P242" si="77">36%*O214</f>
        <v>650.69268292682932</v>
      </c>
      <c r="Q214" s="195">
        <f t="shared" ref="Q214:Q243" si="78">32%*(M214+O214)</f>
        <v>1680.1563277933669</v>
      </c>
      <c r="R214" s="185">
        <f t="shared" ref="R214:R243" si="79">Q214/16</f>
        <v>105.00977048708543</v>
      </c>
    </row>
    <row r="215" spans="1:18">
      <c r="A215" s="186">
        <v>38810</v>
      </c>
      <c r="B215" s="187" t="s">
        <v>208</v>
      </c>
      <c r="C215" s="114">
        <f t="shared" si="64"/>
        <v>955.75221238938059</v>
      </c>
      <c r="D215" s="114">
        <f t="shared" si="65"/>
        <v>525.66371681415933</v>
      </c>
      <c r="E215" s="185">
        <f t="shared" si="66"/>
        <v>191.15044247787614</v>
      </c>
      <c r="F215" s="114">
        <f t="shared" si="67"/>
        <v>11.946902654867259</v>
      </c>
      <c r="G215" s="114">
        <f t="shared" si="68"/>
        <v>945.132743362832</v>
      </c>
      <c r="H215" s="114">
        <f t="shared" si="69"/>
        <v>378.05309734513281</v>
      </c>
      <c r="I215" s="114">
        <f t="shared" si="70"/>
        <v>0</v>
      </c>
      <c r="J215" s="185">
        <f t="shared" si="71"/>
        <v>0</v>
      </c>
      <c r="K215" s="193">
        <f t="shared" si="72"/>
        <v>236.283185840708</v>
      </c>
      <c r="L215" s="184">
        <f t="shared" si="73"/>
        <v>14.76769911504425</v>
      </c>
      <c r="M215" s="184">
        <f t="shared" si="74"/>
        <v>1741.4513274336284</v>
      </c>
      <c r="N215" s="114">
        <f t="shared" si="75"/>
        <v>522.43539823008848</v>
      </c>
      <c r="O215" s="114">
        <f t="shared" si="76"/>
        <v>914.21138211382117</v>
      </c>
      <c r="P215" s="114">
        <f t="shared" si="77"/>
        <v>329.11609756097562</v>
      </c>
      <c r="Q215" s="195">
        <f t="shared" si="78"/>
        <v>849.81206705518389</v>
      </c>
      <c r="R215" s="185">
        <f t="shared" si="79"/>
        <v>53.113254190948993</v>
      </c>
    </row>
    <row r="216" spans="1:18">
      <c r="A216" s="186">
        <v>38811</v>
      </c>
      <c r="B216" s="187" t="s">
        <v>209</v>
      </c>
      <c r="C216" s="114">
        <f t="shared" si="64"/>
        <v>1338.053097345133</v>
      </c>
      <c r="D216" s="114">
        <f t="shared" si="65"/>
        <v>735.92920353982322</v>
      </c>
      <c r="E216" s="185">
        <f t="shared" si="66"/>
        <v>267.61061946902663</v>
      </c>
      <c r="F216" s="114">
        <f t="shared" si="67"/>
        <v>16.725663716814164</v>
      </c>
      <c r="G216" s="114">
        <f t="shared" si="68"/>
        <v>945.132743362832</v>
      </c>
      <c r="H216" s="114">
        <f t="shared" si="69"/>
        <v>378.05309734513281</v>
      </c>
      <c r="I216" s="114">
        <f t="shared" si="70"/>
        <v>1194.6902654867258</v>
      </c>
      <c r="J216" s="185">
        <f t="shared" si="71"/>
        <v>418.14159292035401</v>
      </c>
      <c r="K216" s="193">
        <f t="shared" si="72"/>
        <v>534.95575221238948</v>
      </c>
      <c r="L216" s="184">
        <f t="shared" si="73"/>
        <v>33.434734513274343</v>
      </c>
      <c r="M216" s="184">
        <f t="shared" si="74"/>
        <v>1741.4513274336284</v>
      </c>
      <c r="N216" s="114">
        <f t="shared" si="75"/>
        <v>522.43539823008848</v>
      </c>
      <c r="O216" s="114">
        <f t="shared" si="76"/>
        <v>914.21138211382117</v>
      </c>
      <c r="P216" s="114">
        <f t="shared" si="77"/>
        <v>329.11609756097562</v>
      </c>
      <c r="Q216" s="195">
        <f t="shared" si="78"/>
        <v>849.81206705518389</v>
      </c>
      <c r="R216" s="185">
        <f t="shared" si="79"/>
        <v>53.113254190948993</v>
      </c>
    </row>
    <row r="217" spans="1:18">
      <c r="A217" s="186">
        <v>38812</v>
      </c>
      <c r="B217" s="187" t="s">
        <v>210</v>
      </c>
      <c r="C217" s="114">
        <f t="shared" si="64"/>
        <v>1338.053097345133</v>
      </c>
      <c r="D217" s="114">
        <f t="shared" si="65"/>
        <v>735.92920353982322</v>
      </c>
      <c r="E217" s="185">
        <f t="shared" si="66"/>
        <v>267.61061946902663</v>
      </c>
      <c r="F217" s="114">
        <f t="shared" si="67"/>
        <v>16.725663716814164</v>
      </c>
      <c r="G217" s="114">
        <f t="shared" si="68"/>
        <v>945.132743362832</v>
      </c>
      <c r="H217" s="114">
        <f t="shared" si="69"/>
        <v>378.05309734513281</v>
      </c>
      <c r="I217" s="114">
        <f t="shared" si="70"/>
        <v>0</v>
      </c>
      <c r="J217" s="185">
        <f t="shared" si="71"/>
        <v>0</v>
      </c>
      <c r="K217" s="193">
        <f t="shared" si="72"/>
        <v>236.283185840708</v>
      </c>
      <c r="L217" s="184">
        <f t="shared" si="73"/>
        <v>14.76769911504425</v>
      </c>
      <c r="M217" s="184">
        <f t="shared" si="74"/>
        <v>1741.4513274336284</v>
      </c>
      <c r="N217" s="114">
        <f t="shared" si="75"/>
        <v>522.43539823008848</v>
      </c>
      <c r="O217" s="114">
        <f t="shared" si="76"/>
        <v>914.21138211382117</v>
      </c>
      <c r="P217" s="114">
        <f t="shared" si="77"/>
        <v>329.11609756097562</v>
      </c>
      <c r="Q217" s="195">
        <f t="shared" si="78"/>
        <v>849.81206705518389</v>
      </c>
      <c r="R217" s="185">
        <f t="shared" si="79"/>
        <v>53.113254190948993</v>
      </c>
    </row>
    <row r="218" spans="1:18">
      <c r="A218" s="186">
        <v>38813</v>
      </c>
      <c r="B218" s="187" t="s">
        <v>211</v>
      </c>
      <c r="C218" s="114">
        <f t="shared" si="64"/>
        <v>1338.053097345133</v>
      </c>
      <c r="D218" s="114">
        <f t="shared" si="65"/>
        <v>735.92920353982322</v>
      </c>
      <c r="E218" s="185">
        <f t="shared" si="66"/>
        <v>267.61061946902663</v>
      </c>
      <c r="F218" s="114">
        <f t="shared" si="67"/>
        <v>16.725663716814164</v>
      </c>
      <c r="G218" s="114">
        <f t="shared" si="68"/>
        <v>945.132743362832</v>
      </c>
      <c r="H218" s="114">
        <f t="shared" si="69"/>
        <v>378.05309734513281</v>
      </c>
      <c r="I218" s="114">
        <f t="shared" si="70"/>
        <v>0</v>
      </c>
      <c r="J218" s="185">
        <f t="shared" si="71"/>
        <v>0</v>
      </c>
      <c r="K218" s="193">
        <f t="shared" si="72"/>
        <v>236.283185840708</v>
      </c>
      <c r="L218" s="184">
        <f t="shared" si="73"/>
        <v>14.76769911504425</v>
      </c>
      <c r="M218" s="184">
        <f t="shared" si="74"/>
        <v>2283.4867256637167</v>
      </c>
      <c r="N218" s="114">
        <f t="shared" si="75"/>
        <v>685.04601769911494</v>
      </c>
      <c r="O218" s="114">
        <f t="shared" si="76"/>
        <v>1198.7642276422764</v>
      </c>
      <c r="P218" s="114">
        <f t="shared" si="77"/>
        <v>431.55512195121952</v>
      </c>
      <c r="Q218" s="195">
        <f t="shared" si="78"/>
        <v>1114.3203050579177</v>
      </c>
      <c r="R218" s="185">
        <f t="shared" si="79"/>
        <v>69.645019066119858</v>
      </c>
    </row>
    <row r="219" spans="1:18">
      <c r="A219" s="186">
        <v>38814</v>
      </c>
      <c r="B219" s="187" t="s">
        <v>212</v>
      </c>
      <c r="C219" s="114">
        <f t="shared" si="64"/>
        <v>1338.053097345133</v>
      </c>
      <c r="D219" s="114">
        <f t="shared" si="65"/>
        <v>735.92920353982322</v>
      </c>
      <c r="E219" s="185">
        <f t="shared" si="66"/>
        <v>267.61061946902663</v>
      </c>
      <c r="F219" s="114">
        <f t="shared" si="67"/>
        <v>16.725663716814164</v>
      </c>
      <c r="G219" s="114">
        <f t="shared" si="68"/>
        <v>945.132743362832</v>
      </c>
      <c r="H219" s="114">
        <f t="shared" si="69"/>
        <v>378.05309734513281</v>
      </c>
      <c r="I219" s="114">
        <f t="shared" si="70"/>
        <v>1194.6902654867258</v>
      </c>
      <c r="J219" s="185">
        <f t="shared" si="71"/>
        <v>418.14159292035401</v>
      </c>
      <c r="K219" s="193">
        <f t="shared" si="72"/>
        <v>534.95575221238948</v>
      </c>
      <c r="L219" s="184">
        <f t="shared" si="73"/>
        <v>33.434734513274343</v>
      </c>
      <c r="M219" s="184">
        <f t="shared" si="74"/>
        <v>3465.5575221238942</v>
      </c>
      <c r="N219" s="114">
        <f t="shared" si="75"/>
        <v>1039.6672566371683</v>
      </c>
      <c r="O219" s="114">
        <f t="shared" si="76"/>
        <v>1819.3170731707319</v>
      </c>
      <c r="P219" s="114">
        <f t="shared" si="77"/>
        <v>654.95414634146346</v>
      </c>
      <c r="Q219" s="195">
        <f t="shared" si="78"/>
        <v>1691.1598704942805</v>
      </c>
      <c r="R219" s="185">
        <f t="shared" si="79"/>
        <v>105.69749190589253</v>
      </c>
    </row>
    <row r="220" spans="1:18">
      <c r="A220" s="186">
        <v>38815</v>
      </c>
      <c r="B220" s="187" t="s">
        <v>213</v>
      </c>
      <c r="C220" s="114">
        <f t="shared" si="64"/>
        <v>1720.353982300885</v>
      </c>
      <c r="D220" s="114">
        <f t="shared" si="65"/>
        <v>946.19469026548688</v>
      </c>
      <c r="E220" s="185">
        <f t="shared" si="66"/>
        <v>344.07079646017701</v>
      </c>
      <c r="F220" s="114">
        <f t="shared" si="67"/>
        <v>21.504424778761063</v>
      </c>
      <c r="G220" s="114">
        <f t="shared" si="68"/>
        <v>0</v>
      </c>
      <c r="H220" s="114">
        <f t="shared" si="69"/>
        <v>0</v>
      </c>
      <c r="I220" s="114">
        <f t="shared" si="70"/>
        <v>0</v>
      </c>
      <c r="J220" s="185">
        <f t="shared" si="71"/>
        <v>0</v>
      </c>
      <c r="K220" s="193">
        <f t="shared" si="72"/>
        <v>0</v>
      </c>
      <c r="L220" s="184">
        <f t="shared" si="73"/>
        <v>0</v>
      </c>
      <c r="M220" s="184">
        <f t="shared" si="74"/>
        <v>3942.5486725663718</v>
      </c>
      <c r="N220" s="114">
        <f t="shared" si="75"/>
        <v>1182.7646017699115</v>
      </c>
      <c r="O220" s="114">
        <f t="shared" si="76"/>
        <v>2069.7235772357726</v>
      </c>
      <c r="P220" s="114">
        <f t="shared" si="77"/>
        <v>745.10048780487807</v>
      </c>
      <c r="Q220" s="195">
        <f t="shared" si="78"/>
        <v>1923.9271199366865</v>
      </c>
      <c r="R220" s="185">
        <f t="shared" si="79"/>
        <v>120.24544499604291</v>
      </c>
    </row>
    <row r="221" spans="1:18">
      <c r="A221" s="186">
        <v>38816</v>
      </c>
      <c r="B221" s="187" t="s">
        <v>214</v>
      </c>
      <c r="C221" s="114">
        <f t="shared" si="64"/>
        <v>1720.353982300885</v>
      </c>
      <c r="D221" s="114">
        <f t="shared" si="65"/>
        <v>946.19469026548688</v>
      </c>
      <c r="E221" s="185">
        <f t="shared" si="66"/>
        <v>344.07079646017701</v>
      </c>
      <c r="F221" s="114">
        <f t="shared" si="67"/>
        <v>21.504424778761063</v>
      </c>
      <c r="G221" s="114">
        <f t="shared" si="68"/>
        <v>0</v>
      </c>
      <c r="H221" s="114">
        <f t="shared" si="69"/>
        <v>0</v>
      </c>
      <c r="I221" s="114">
        <f t="shared" si="70"/>
        <v>0</v>
      </c>
      <c r="J221" s="185">
        <f t="shared" si="71"/>
        <v>0</v>
      </c>
      <c r="K221" s="193">
        <f t="shared" si="72"/>
        <v>0</v>
      </c>
      <c r="L221" s="184">
        <f t="shared" si="73"/>
        <v>0</v>
      </c>
      <c r="M221" s="184">
        <f t="shared" si="74"/>
        <v>3443.0088495575228</v>
      </c>
      <c r="N221" s="114">
        <f t="shared" si="75"/>
        <v>1032.9026548672568</v>
      </c>
      <c r="O221" s="114">
        <f t="shared" si="76"/>
        <v>1807.4796747967482</v>
      </c>
      <c r="P221" s="114">
        <f t="shared" si="77"/>
        <v>650.69268292682932</v>
      </c>
      <c r="Q221" s="195">
        <f t="shared" si="78"/>
        <v>1680.1563277933669</v>
      </c>
      <c r="R221" s="185">
        <f t="shared" si="79"/>
        <v>105.00977048708543</v>
      </c>
    </row>
    <row r="222" spans="1:18">
      <c r="A222" s="186">
        <v>38817</v>
      </c>
      <c r="B222" s="187" t="s">
        <v>208</v>
      </c>
      <c r="C222" s="114">
        <f t="shared" si="64"/>
        <v>955.75221238938059</v>
      </c>
      <c r="D222" s="114">
        <f t="shared" si="65"/>
        <v>525.66371681415933</v>
      </c>
      <c r="E222" s="185">
        <f t="shared" si="66"/>
        <v>191.15044247787614</v>
      </c>
      <c r="F222" s="114">
        <f t="shared" si="67"/>
        <v>11.946902654867259</v>
      </c>
      <c r="G222" s="114">
        <f t="shared" si="68"/>
        <v>945.132743362832</v>
      </c>
      <c r="H222" s="114">
        <f t="shared" si="69"/>
        <v>378.05309734513281</v>
      </c>
      <c r="I222" s="114">
        <f t="shared" si="70"/>
        <v>1194.6902654867258</v>
      </c>
      <c r="J222" s="185">
        <f t="shared" si="71"/>
        <v>418.14159292035401</v>
      </c>
      <c r="K222" s="193">
        <f t="shared" si="72"/>
        <v>534.95575221238948</v>
      </c>
      <c r="L222" s="184">
        <f t="shared" si="73"/>
        <v>33.434734513274343</v>
      </c>
      <c r="M222" s="184">
        <f t="shared" si="74"/>
        <v>1741.4513274336284</v>
      </c>
      <c r="N222" s="114">
        <f t="shared" si="75"/>
        <v>522.43539823008848</v>
      </c>
      <c r="O222" s="114">
        <f t="shared" si="76"/>
        <v>914.21138211382117</v>
      </c>
      <c r="P222" s="114">
        <f t="shared" si="77"/>
        <v>329.11609756097562</v>
      </c>
      <c r="Q222" s="195">
        <f t="shared" si="78"/>
        <v>849.81206705518389</v>
      </c>
      <c r="R222" s="185">
        <f t="shared" si="79"/>
        <v>53.113254190948993</v>
      </c>
    </row>
    <row r="223" spans="1:18">
      <c r="A223" s="186">
        <v>38818</v>
      </c>
      <c r="B223" s="187" t="s">
        <v>209</v>
      </c>
      <c r="C223" s="114">
        <f t="shared" si="64"/>
        <v>1338.053097345133</v>
      </c>
      <c r="D223" s="114">
        <f t="shared" si="65"/>
        <v>735.92920353982322</v>
      </c>
      <c r="E223" s="185">
        <f t="shared" si="66"/>
        <v>267.61061946902663</v>
      </c>
      <c r="F223" s="114">
        <f t="shared" si="67"/>
        <v>16.725663716814164</v>
      </c>
      <c r="G223" s="114">
        <f t="shared" si="68"/>
        <v>945.132743362832</v>
      </c>
      <c r="H223" s="114">
        <f t="shared" si="69"/>
        <v>378.05309734513281</v>
      </c>
      <c r="I223" s="114">
        <f t="shared" si="70"/>
        <v>0</v>
      </c>
      <c r="J223" s="185">
        <f t="shared" si="71"/>
        <v>0</v>
      </c>
      <c r="K223" s="193">
        <f t="shared" si="72"/>
        <v>236.283185840708</v>
      </c>
      <c r="L223" s="184">
        <f t="shared" si="73"/>
        <v>14.76769911504425</v>
      </c>
      <c r="M223" s="184">
        <f t="shared" si="74"/>
        <v>3475.9646017699115</v>
      </c>
      <c r="N223" s="114">
        <f t="shared" si="75"/>
        <v>1042.7893805309734</v>
      </c>
      <c r="O223" s="114">
        <f t="shared" si="76"/>
        <v>1824.780487804878</v>
      </c>
      <c r="P223" s="114">
        <f t="shared" si="77"/>
        <v>656.92097560975606</v>
      </c>
      <c r="Q223" s="195">
        <f t="shared" si="78"/>
        <v>1696.2384286639328</v>
      </c>
      <c r="R223" s="185">
        <f t="shared" si="79"/>
        <v>106.0149017914958</v>
      </c>
    </row>
    <row r="224" spans="1:18">
      <c r="A224" s="186">
        <v>38819</v>
      </c>
      <c r="B224" s="187" t="s">
        <v>210</v>
      </c>
      <c r="C224" s="114">
        <f t="shared" si="64"/>
        <v>1338.053097345133</v>
      </c>
      <c r="D224" s="114">
        <f t="shared" si="65"/>
        <v>735.92920353982322</v>
      </c>
      <c r="E224" s="185">
        <f t="shared" si="66"/>
        <v>267.61061946902663</v>
      </c>
      <c r="F224" s="114">
        <f t="shared" si="67"/>
        <v>16.725663716814164</v>
      </c>
      <c r="G224" s="114">
        <f t="shared" si="68"/>
        <v>945.132743362832</v>
      </c>
      <c r="H224" s="114">
        <f t="shared" si="69"/>
        <v>378.05309734513281</v>
      </c>
      <c r="I224" s="114">
        <f t="shared" si="70"/>
        <v>1194.6902654867258</v>
      </c>
      <c r="J224" s="185">
        <f t="shared" si="71"/>
        <v>418.14159292035401</v>
      </c>
      <c r="K224" s="193">
        <f t="shared" si="72"/>
        <v>534.95575221238948</v>
      </c>
      <c r="L224" s="184">
        <f t="shared" si="73"/>
        <v>33.434734513274343</v>
      </c>
      <c r="M224" s="184">
        <f t="shared" si="74"/>
        <v>1741.4513274336284</v>
      </c>
      <c r="N224" s="114">
        <f t="shared" si="75"/>
        <v>522.43539823008848</v>
      </c>
      <c r="O224" s="114">
        <f t="shared" si="76"/>
        <v>914.21138211382117</v>
      </c>
      <c r="P224" s="114">
        <f t="shared" si="77"/>
        <v>329.11609756097562</v>
      </c>
      <c r="Q224" s="195">
        <f t="shared" si="78"/>
        <v>849.81206705518389</v>
      </c>
      <c r="R224" s="185">
        <f t="shared" si="79"/>
        <v>53.113254190948993</v>
      </c>
    </row>
    <row r="225" spans="1:18">
      <c r="A225" s="186">
        <v>38820</v>
      </c>
      <c r="B225" s="187" t="s">
        <v>211</v>
      </c>
      <c r="C225" s="114">
        <f t="shared" si="64"/>
        <v>1338.053097345133</v>
      </c>
      <c r="D225" s="114">
        <f t="shared" si="65"/>
        <v>735.92920353982322</v>
      </c>
      <c r="E225" s="185">
        <f t="shared" si="66"/>
        <v>267.61061946902663</v>
      </c>
      <c r="F225" s="114">
        <f t="shared" si="67"/>
        <v>16.725663716814164</v>
      </c>
      <c r="G225" s="114">
        <f t="shared" si="68"/>
        <v>945.132743362832</v>
      </c>
      <c r="H225" s="114">
        <f t="shared" si="69"/>
        <v>378.05309734513281</v>
      </c>
      <c r="I225" s="114">
        <f t="shared" si="70"/>
        <v>0</v>
      </c>
      <c r="J225" s="185">
        <f t="shared" si="71"/>
        <v>0</v>
      </c>
      <c r="K225" s="193">
        <f t="shared" si="72"/>
        <v>236.283185840708</v>
      </c>
      <c r="L225" s="184">
        <f t="shared" si="73"/>
        <v>14.76769911504425</v>
      </c>
      <c r="M225" s="184">
        <f t="shared" si="74"/>
        <v>867.25663716814165</v>
      </c>
      <c r="N225" s="114">
        <f t="shared" si="75"/>
        <v>260.17699115044246</v>
      </c>
      <c r="O225" s="114">
        <f t="shared" si="76"/>
        <v>455.28455284552848</v>
      </c>
      <c r="P225" s="114">
        <f t="shared" si="77"/>
        <v>163.90243902439025</v>
      </c>
      <c r="Q225" s="195">
        <f t="shared" si="78"/>
        <v>423.21318080437442</v>
      </c>
      <c r="R225" s="185">
        <f t="shared" si="79"/>
        <v>26.450823800273401</v>
      </c>
    </row>
    <row r="226" spans="1:18">
      <c r="A226" s="188">
        <v>38821</v>
      </c>
      <c r="B226" s="189" t="s">
        <v>212</v>
      </c>
      <c r="C226" s="114">
        <f t="shared" si="64"/>
        <v>0</v>
      </c>
      <c r="D226" s="114">
        <f t="shared" si="65"/>
        <v>0</v>
      </c>
      <c r="E226" s="185">
        <f t="shared" si="66"/>
        <v>0</v>
      </c>
      <c r="F226" s="114">
        <f t="shared" si="67"/>
        <v>0</v>
      </c>
      <c r="G226" s="114">
        <f t="shared" si="68"/>
        <v>0</v>
      </c>
      <c r="H226" s="114">
        <f t="shared" si="69"/>
        <v>0</v>
      </c>
      <c r="I226" s="114">
        <f t="shared" si="70"/>
        <v>0</v>
      </c>
      <c r="J226" s="185">
        <f t="shared" si="71"/>
        <v>0</v>
      </c>
      <c r="K226" s="193">
        <f t="shared" si="72"/>
        <v>0</v>
      </c>
      <c r="L226" s="184">
        <f t="shared" si="73"/>
        <v>0</v>
      </c>
      <c r="M226" s="184">
        <f t="shared" si="74"/>
        <v>0</v>
      </c>
      <c r="N226" s="114">
        <f t="shared" si="75"/>
        <v>0</v>
      </c>
      <c r="O226" s="114">
        <f t="shared" si="76"/>
        <v>0</v>
      </c>
      <c r="P226" s="114">
        <f t="shared" si="77"/>
        <v>0</v>
      </c>
      <c r="Q226" s="195">
        <f t="shared" si="78"/>
        <v>0</v>
      </c>
      <c r="R226" s="185">
        <f t="shared" si="79"/>
        <v>0</v>
      </c>
    </row>
    <row r="227" spans="1:18">
      <c r="A227" s="186">
        <v>38822</v>
      </c>
      <c r="B227" s="187" t="s">
        <v>213</v>
      </c>
      <c r="C227" s="114">
        <f t="shared" si="64"/>
        <v>0</v>
      </c>
      <c r="D227" s="114">
        <f t="shared" si="65"/>
        <v>0</v>
      </c>
      <c r="E227" s="185">
        <f t="shared" si="66"/>
        <v>0</v>
      </c>
      <c r="F227" s="114">
        <f t="shared" si="67"/>
        <v>0</v>
      </c>
      <c r="G227" s="114">
        <f t="shared" si="68"/>
        <v>0</v>
      </c>
      <c r="H227" s="114">
        <f t="shared" si="69"/>
        <v>0</v>
      </c>
      <c r="I227" s="114">
        <f t="shared" si="70"/>
        <v>0</v>
      </c>
      <c r="J227" s="185">
        <f t="shared" si="71"/>
        <v>0</v>
      </c>
      <c r="K227" s="193">
        <f t="shared" si="72"/>
        <v>0</v>
      </c>
      <c r="L227" s="184">
        <f t="shared" si="73"/>
        <v>0</v>
      </c>
      <c r="M227" s="184">
        <f t="shared" si="74"/>
        <v>3942.5486725663718</v>
      </c>
      <c r="N227" s="114">
        <f t="shared" si="75"/>
        <v>1182.7646017699115</v>
      </c>
      <c r="O227" s="114">
        <f t="shared" si="76"/>
        <v>2069.7235772357726</v>
      </c>
      <c r="P227" s="114">
        <f t="shared" si="77"/>
        <v>745.10048780487807</v>
      </c>
      <c r="Q227" s="195">
        <f t="shared" si="78"/>
        <v>1923.9271199366865</v>
      </c>
      <c r="R227" s="185">
        <f t="shared" si="79"/>
        <v>120.24544499604291</v>
      </c>
    </row>
    <row r="228" spans="1:18">
      <c r="A228" s="188">
        <v>38823</v>
      </c>
      <c r="B228" s="189" t="s">
        <v>214</v>
      </c>
      <c r="C228" s="114">
        <f t="shared" si="64"/>
        <v>1720.353982300885</v>
      </c>
      <c r="D228" s="114">
        <f t="shared" si="65"/>
        <v>946.19469026548688</v>
      </c>
      <c r="E228" s="185">
        <f t="shared" si="66"/>
        <v>344.07079646017701</v>
      </c>
      <c r="F228" s="114">
        <f t="shared" si="67"/>
        <v>21.504424778761063</v>
      </c>
      <c r="G228" s="114">
        <f t="shared" si="68"/>
        <v>0</v>
      </c>
      <c r="H228" s="114">
        <f t="shared" si="69"/>
        <v>0</v>
      </c>
      <c r="I228" s="114">
        <f t="shared" si="70"/>
        <v>0</v>
      </c>
      <c r="J228" s="185">
        <f t="shared" si="71"/>
        <v>0</v>
      </c>
      <c r="K228" s="193">
        <f t="shared" si="72"/>
        <v>0</v>
      </c>
      <c r="L228" s="184">
        <f t="shared" si="73"/>
        <v>0</v>
      </c>
      <c r="M228" s="184">
        <f t="shared" si="74"/>
        <v>4743.8938053097354</v>
      </c>
      <c r="N228" s="114">
        <f t="shared" si="75"/>
        <v>1423.1681415929206</v>
      </c>
      <c r="O228" s="114">
        <f t="shared" si="76"/>
        <v>2490.4065040650407</v>
      </c>
      <c r="P228" s="114">
        <f t="shared" si="77"/>
        <v>896.54634146341459</v>
      </c>
      <c r="Q228" s="195">
        <f t="shared" si="78"/>
        <v>2314.9760989999281</v>
      </c>
      <c r="R228" s="185">
        <f t="shared" si="79"/>
        <v>144.68600618749551</v>
      </c>
    </row>
    <row r="229" spans="1:18">
      <c r="A229" s="188">
        <v>38824</v>
      </c>
      <c r="B229" s="189" t="s">
        <v>208</v>
      </c>
      <c r="C229" s="114">
        <f t="shared" si="64"/>
        <v>955.75221238938059</v>
      </c>
      <c r="D229" s="114">
        <f t="shared" si="65"/>
        <v>525.66371681415933</v>
      </c>
      <c r="E229" s="185">
        <f t="shared" si="66"/>
        <v>191.15044247787614</v>
      </c>
      <c r="F229" s="114">
        <f t="shared" si="67"/>
        <v>11.946902654867259</v>
      </c>
      <c r="G229" s="114">
        <f t="shared" si="68"/>
        <v>0</v>
      </c>
      <c r="H229" s="114">
        <f t="shared" si="69"/>
        <v>0</v>
      </c>
      <c r="I229" s="114">
        <f t="shared" si="70"/>
        <v>0</v>
      </c>
      <c r="J229" s="185">
        <f t="shared" si="71"/>
        <v>0</v>
      </c>
      <c r="K229" s="193">
        <f t="shared" si="72"/>
        <v>0</v>
      </c>
      <c r="L229" s="184">
        <f t="shared" si="73"/>
        <v>0</v>
      </c>
      <c r="M229" s="184">
        <f t="shared" si="74"/>
        <v>3443.0088495575228</v>
      </c>
      <c r="N229" s="114">
        <f t="shared" si="75"/>
        <v>1032.9026548672568</v>
      </c>
      <c r="O229" s="114">
        <f t="shared" si="76"/>
        <v>1807.4796747967482</v>
      </c>
      <c r="P229" s="114">
        <f t="shared" si="77"/>
        <v>650.69268292682932</v>
      </c>
      <c r="Q229" s="195">
        <f t="shared" si="78"/>
        <v>1680.1563277933669</v>
      </c>
      <c r="R229" s="185">
        <f t="shared" si="79"/>
        <v>105.00977048708543</v>
      </c>
    </row>
    <row r="230" spans="1:18">
      <c r="A230" s="186">
        <v>38825</v>
      </c>
      <c r="B230" s="187" t="s">
        <v>209</v>
      </c>
      <c r="C230" s="114">
        <f t="shared" si="64"/>
        <v>955.75221238938059</v>
      </c>
      <c r="D230" s="114">
        <f t="shared" si="65"/>
        <v>525.66371681415933</v>
      </c>
      <c r="E230" s="185">
        <f t="shared" si="66"/>
        <v>191.15044247787614</v>
      </c>
      <c r="F230" s="114">
        <f t="shared" si="67"/>
        <v>11.946902654867259</v>
      </c>
      <c r="G230" s="114">
        <f t="shared" si="68"/>
        <v>945.132743362832</v>
      </c>
      <c r="H230" s="114">
        <f t="shared" si="69"/>
        <v>378.05309734513281</v>
      </c>
      <c r="I230" s="114">
        <f t="shared" si="70"/>
        <v>0</v>
      </c>
      <c r="J230" s="185">
        <f t="shared" si="71"/>
        <v>0</v>
      </c>
      <c r="K230" s="193">
        <f t="shared" si="72"/>
        <v>236.283185840708</v>
      </c>
      <c r="L230" s="184">
        <f t="shared" si="73"/>
        <v>14.76769911504425</v>
      </c>
      <c r="M230" s="184">
        <f t="shared" si="74"/>
        <v>1741.4513274336284</v>
      </c>
      <c r="N230" s="114">
        <f t="shared" si="75"/>
        <v>522.43539823008848</v>
      </c>
      <c r="O230" s="114">
        <f t="shared" si="76"/>
        <v>914.21138211382117</v>
      </c>
      <c r="P230" s="114">
        <f t="shared" si="77"/>
        <v>329.11609756097562</v>
      </c>
      <c r="Q230" s="195">
        <f t="shared" si="78"/>
        <v>849.81206705518389</v>
      </c>
      <c r="R230" s="185">
        <f t="shared" si="79"/>
        <v>53.113254190948993</v>
      </c>
    </row>
    <row r="231" spans="1:18">
      <c r="A231" s="186">
        <v>38826</v>
      </c>
      <c r="B231" s="187" t="s">
        <v>210</v>
      </c>
      <c r="C231" s="114">
        <f t="shared" si="64"/>
        <v>1338.053097345133</v>
      </c>
      <c r="D231" s="114">
        <f t="shared" si="65"/>
        <v>735.92920353982322</v>
      </c>
      <c r="E231" s="185">
        <f t="shared" si="66"/>
        <v>267.61061946902663</v>
      </c>
      <c r="F231" s="114">
        <f t="shared" si="67"/>
        <v>16.725663716814164</v>
      </c>
      <c r="G231" s="114">
        <f t="shared" si="68"/>
        <v>945.132743362832</v>
      </c>
      <c r="H231" s="114">
        <f t="shared" si="69"/>
        <v>378.05309734513281</v>
      </c>
      <c r="I231" s="114">
        <f t="shared" si="70"/>
        <v>1194.6902654867258</v>
      </c>
      <c r="J231" s="185">
        <f t="shared" si="71"/>
        <v>418.14159292035401</v>
      </c>
      <c r="K231" s="193">
        <f t="shared" si="72"/>
        <v>534.95575221238948</v>
      </c>
      <c r="L231" s="184">
        <f t="shared" si="73"/>
        <v>33.434734513274343</v>
      </c>
      <c r="M231" s="184">
        <f t="shared" si="74"/>
        <v>1741.4513274336284</v>
      </c>
      <c r="N231" s="114">
        <f t="shared" si="75"/>
        <v>522.43539823008848</v>
      </c>
      <c r="O231" s="114">
        <f t="shared" si="76"/>
        <v>914.21138211382117</v>
      </c>
      <c r="P231" s="114">
        <f t="shared" si="77"/>
        <v>329.11609756097562</v>
      </c>
      <c r="Q231" s="195">
        <f t="shared" si="78"/>
        <v>849.81206705518389</v>
      </c>
      <c r="R231" s="185">
        <f t="shared" si="79"/>
        <v>53.113254190948993</v>
      </c>
    </row>
    <row r="232" spans="1:18">
      <c r="A232" s="186">
        <v>38827</v>
      </c>
      <c r="B232" s="187" t="s">
        <v>211</v>
      </c>
      <c r="C232" s="114">
        <f t="shared" si="64"/>
        <v>1338.053097345133</v>
      </c>
      <c r="D232" s="114">
        <f t="shared" si="65"/>
        <v>735.92920353982322</v>
      </c>
      <c r="E232" s="185">
        <f t="shared" si="66"/>
        <v>267.61061946902663</v>
      </c>
      <c r="F232" s="114">
        <f t="shared" si="67"/>
        <v>16.725663716814164</v>
      </c>
      <c r="G232" s="114">
        <f t="shared" si="68"/>
        <v>945.132743362832</v>
      </c>
      <c r="H232" s="114">
        <f t="shared" si="69"/>
        <v>378.05309734513281</v>
      </c>
      <c r="I232" s="114">
        <f t="shared" si="70"/>
        <v>1194.6902654867258</v>
      </c>
      <c r="J232" s="185">
        <f t="shared" si="71"/>
        <v>418.14159292035401</v>
      </c>
      <c r="K232" s="193">
        <f t="shared" si="72"/>
        <v>534.95575221238948</v>
      </c>
      <c r="L232" s="184">
        <f t="shared" si="73"/>
        <v>33.434734513274343</v>
      </c>
      <c r="M232" s="184">
        <f t="shared" si="74"/>
        <v>3475.9646017699115</v>
      </c>
      <c r="N232" s="114">
        <f t="shared" si="75"/>
        <v>1042.7893805309734</v>
      </c>
      <c r="O232" s="114">
        <f t="shared" si="76"/>
        <v>1824.780487804878</v>
      </c>
      <c r="P232" s="114">
        <f t="shared" si="77"/>
        <v>656.92097560975606</v>
      </c>
      <c r="Q232" s="195">
        <f t="shared" si="78"/>
        <v>1696.2384286639328</v>
      </c>
      <c r="R232" s="185">
        <f t="shared" si="79"/>
        <v>106.0149017914958</v>
      </c>
    </row>
    <row r="233" spans="1:18">
      <c r="A233" s="186">
        <v>38828</v>
      </c>
      <c r="B233" s="187" t="s">
        <v>212</v>
      </c>
      <c r="C233" s="114">
        <f t="shared" si="64"/>
        <v>1338.053097345133</v>
      </c>
      <c r="D233" s="114">
        <f t="shared" si="65"/>
        <v>735.92920353982322</v>
      </c>
      <c r="E233" s="185">
        <f t="shared" si="66"/>
        <v>267.61061946902663</v>
      </c>
      <c r="F233" s="114">
        <f t="shared" si="67"/>
        <v>16.725663716814164</v>
      </c>
      <c r="G233" s="114">
        <f t="shared" si="68"/>
        <v>945.132743362832</v>
      </c>
      <c r="H233" s="114">
        <f t="shared" si="69"/>
        <v>378.05309734513281</v>
      </c>
      <c r="I233" s="114">
        <f t="shared" si="70"/>
        <v>0</v>
      </c>
      <c r="J233" s="185">
        <f t="shared" si="71"/>
        <v>0</v>
      </c>
      <c r="K233" s="193">
        <f t="shared" si="72"/>
        <v>236.283185840708</v>
      </c>
      <c r="L233" s="184">
        <f t="shared" si="73"/>
        <v>14.76769911504425</v>
      </c>
      <c r="M233" s="184">
        <f t="shared" si="74"/>
        <v>3465.5575221238942</v>
      </c>
      <c r="N233" s="114">
        <f t="shared" si="75"/>
        <v>1039.6672566371683</v>
      </c>
      <c r="O233" s="114">
        <f t="shared" si="76"/>
        <v>1819.3170731707319</v>
      </c>
      <c r="P233" s="114">
        <f t="shared" si="77"/>
        <v>654.95414634146346</v>
      </c>
      <c r="Q233" s="195">
        <f t="shared" si="78"/>
        <v>1691.1598704942805</v>
      </c>
      <c r="R233" s="185">
        <f t="shared" si="79"/>
        <v>105.69749190589253</v>
      </c>
    </row>
    <row r="234" spans="1:18">
      <c r="A234" s="186">
        <v>38829</v>
      </c>
      <c r="B234" s="187" t="s">
        <v>213</v>
      </c>
      <c r="C234" s="114">
        <f t="shared" si="64"/>
        <v>1720.353982300885</v>
      </c>
      <c r="D234" s="114">
        <f t="shared" si="65"/>
        <v>946.19469026548688</v>
      </c>
      <c r="E234" s="185">
        <f t="shared" si="66"/>
        <v>344.07079646017701</v>
      </c>
      <c r="F234" s="114">
        <f t="shared" si="67"/>
        <v>21.504424778761063</v>
      </c>
      <c r="G234" s="114">
        <f t="shared" si="68"/>
        <v>0</v>
      </c>
      <c r="H234" s="114">
        <f t="shared" si="69"/>
        <v>0</v>
      </c>
      <c r="I234" s="114">
        <f t="shared" si="70"/>
        <v>0</v>
      </c>
      <c r="J234" s="185">
        <f t="shared" si="71"/>
        <v>0</v>
      </c>
      <c r="K234" s="193">
        <f t="shared" si="72"/>
        <v>0</v>
      </c>
      <c r="L234" s="184">
        <f t="shared" si="73"/>
        <v>0</v>
      </c>
      <c r="M234" s="184">
        <f t="shared" si="74"/>
        <v>3942.5486725663718</v>
      </c>
      <c r="N234" s="114">
        <f t="shared" si="75"/>
        <v>1182.7646017699115</v>
      </c>
      <c r="O234" s="114">
        <f t="shared" si="76"/>
        <v>2069.7235772357726</v>
      </c>
      <c r="P234" s="114">
        <f t="shared" si="77"/>
        <v>745.10048780487807</v>
      </c>
      <c r="Q234" s="195">
        <f t="shared" si="78"/>
        <v>1923.9271199366865</v>
      </c>
      <c r="R234" s="185">
        <f t="shared" si="79"/>
        <v>120.24544499604291</v>
      </c>
    </row>
    <row r="235" spans="1:18">
      <c r="A235" s="186">
        <v>38830</v>
      </c>
      <c r="B235" s="187" t="s">
        <v>214</v>
      </c>
      <c r="C235" s="114">
        <f t="shared" si="64"/>
        <v>1720.353982300885</v>
      </c>
      <c r="D235" s="114">
        <f t="shared" si="65"/>
        <v>946.19469026548688</v>
      </c>
      <c r="E235" s="185">
        <f t="shared" si="66"/>
        <v>344.07079646017701</v>
      </c>
      <c r="F235" s="114">
        <f t="shared" si="67"/>
        <v>21.504424778761063</v>
      </c>
      <c r="G235" s="114">
        <f t="shared" si="68"/>
        <v>0</v>
      </c>
      <c r="H235" s="114">
        <f t="shared" si="69"/>
        <v>0</v>
      </c>
      <c r="I235" s="114">
        <f t="shared" si="70"/>
        <v>0</v>
      </c>
      <c r="J235" s="185">
        <f t="shared" si="71"/>
        <v>0</v>
      </c>
      <c r="K235" s="193">
        <f t="shared" si="72"/>
        <v>0</v>
      </c>
      <c r="L235" s="184">
        <f t="shared" si="73"/>
        <v>0</v>
      </c>
      <c r="M235" s="184">
        <f t="shared" si="74"/>
        <v>3443.0088495575228</v>
      </c>
      <c r="N235" s="114">
        <f t="shared" si="75"/>
        <v>1032.9026548672568</v>
      </c>
      <c r="O235" s="114">
        <f t="shared" si="76"/>
        <v>1807.4796747967482</v>
      </c>
      <c r="P235" s="114">
        <f t="shared" si="77"/>
        <v>650.69268292682932</v>
      </c>
      <c r="Q235" s="195">
        <f t="shared" si="78"/>
        <v>1680.1563277933669</v>
      </c>
      <c r="R235" s="185">
        <f t="shared" si="79"/>
        <v>105.00977048708543</v>
      </c>
    </row>
    <row r="236" spans="1:18">
      <c r="A236" s="186">
        <v>38831</v>
      </c>
      <c r="B236" s="187" t="s">
        <v>208</v>
      </c>
      <c r="C236" s="114">
        <f t="shared" si="64"/>
        <v>955.75221238938059</v>
      </c>
      <c r="D236" s="114">
        <f t="shared" si="65"/>
        <v>525.66371681415933</v>
      </c>
      <c r="E236" s="185">
        <f t="shared" si="66"/>
        <v>191.15044247787614</v>
      </c>
      <c r="F236" s="114">
        <f t="shared" si="67"/>
        <v>11.946902654867259</v>
      </c>
      <c r="G236" s="114">
        <f t="shared" si="68"/>
        <v>945.132743362832</v>
      </c>
      <c r="H236" s="114">
        <f t="shared" si="69"/>
        <v>378.05309734513281</v>
      </c>
      <c r="I236" s="114">
        <f t="shared" si="70"/>
        <v>0</v>
      </c>
      <c r="J236" s="185">
        <f t="shared" si="71"/>
        <v>0</v>
      </c>
      <c r="K236" s="193">
        <f t="shared" si="72"/>
        <v>236.283185840708</v>
      </c>
      <c r="L236" s="184">
        <f t="shared" si="73"/>
        <v>14.76769911504425</v>
      </c>
      <c r="M236" s="184">
        <f t="shared" si="74"/>
        <v>1741.4513274336284</v>
      </c>
      <c r="N236" s="114">
        <f t="shared" si="75"/>
        <v>522.43539823008848</v>
      </c>
      <c r="O236" s="114">
        <f t="shared" si="76"/>
        <v>914.21138211382117</v>
      </c>
      <c r="P236" s="114">
        <f t="shared" si="77"/>
        <v>329.11609756097562</v>
      </c>
      <c r="Q236" s="195">
        <f t="shared" si="78"/>
        <v>849.81206705518389</v>
      </c>
      <c r="R236" s="185">
        <f t="shared" si="79"/>
        <v>53.113254190948993</v>
      </c>
    </row>
    <row r="237" spans="1:18">
      <c r="A237" s="186">
        <v>38832</v>
      </c>
      <c r="B237" s="187" t="s">
        <v>209</v>
      </c>
      <c r="C237" s="114">
        <f t="shared" si="64"/>
        <v>1338.053097345133</v>
      </c>
      <c r="D237" s="114">
        <f t="shared" si="65"/>
        <v>735.92920353982322</v>
      </c>
      <c r="E237" s="185">
        <f t="shared" si="66"/>
        <v>267.61061946902663</v>
      </c>
      <c r="F237" s="114">
        <f t="shared" si="67"/>
        <v>16.725663716814164</v>
      </c>
      <c r="G237" s="114">
        <f t="shared" si="68"/>
        <v>945.132743362832</v>
      </c>
      <c r="H237" s="114">
        <f t="shared" si="69"/>
        <v>378.05309734513281</v>
      </c>
      <c r="I237" s="114">
        <f t="shared" si="70"/>
        <v>0</v>
      </c>
      <c r="J237" s="185">
        <f t="shared" si="71"/>
        <v>0</v>
      </c>
      <c r="K237" s="193">
        <f t="shared" si="72"/>
        <v>236.283185840708</v>
      </c>
      <c r="L237" s="184">
        <f t="shared" si="73"/>
        <v>14.76769911504425</v>
      </c>
      <c r="M237" s="184">
        <f t="shared" si="74"/>
        <v>1741.4513274336284</v>
      </c>
      <c r="N237" s="114">
        <f t="shared" si="75"/>
        <v>522.43539823008848</v>
      </c>
      <c r="O237" s="114">
        <f t="shared" si="76"/>
        <v>914.21138211382117</v>
      </c>
      <c r="P237" s="114">
        <f t="shared" si="77"/>
        <v>329.11609756097562</v>
      </c>
      <c r="Q237" s="195">
        <f t="shared" si="78"/>
        <v>849.81206705518389</v>
      </c>
      <c r="R237" s="185">
        <f t="shared" si="79"/>
        <v>53.113254190948993</v>
      </c>
    </row>
    <row r="238" spans="1:18">
      <c r="A238" s="186">
        <v>38833</v>
      </c>
      <c r="B238" s="187" t="s">
        <v>210</v>
      </c>
      <c r="C238" s="114">
        <f t="shared" si="64"/>
        <v>1338.053097345133</v>
      </c>
      <c r="D238" s="114">
        <f t="shared" si="65"/>
        <v>735.92920353982322</v>
      </c>
      <c r="E238" s="185">
        <f t="shared" si="66"/>
        <v>267.61061946902663</v>
      </c>
      <c r="F238" s="114">
        <f t="shared" si="67"/>
        <v>16.725663716814164</v>
      </c>
      <c r="G238" s="114">
        <f t="shared" si="68"/>
        <v>945.132743362832</v>
      </c>
      <c r="H238" s="114">
        <f t="shared" si="69"/>
        <v>378.05309734513281</v>
      </c>
      <c r="I238" s="114">
        <f t="shared" si="70"/>
        <v>0</v>
      </c>
      <c r="J238" s="185">
        <f t="shared" si="71"/>
        <v>0</v>
      </c>
      <c r="K238" s="193">
        <f t="shared" si="72"/>
        <v>236.283185840708</v>
      </c>
      <c r="L238" s="184">
        <f t="shared" si="73"/>
        <v>14.76769911504425</v>
      </c>
      <c r="M238" s="184">
        <f t="shared" si="74"/>
        <v>2825.5221238938052</v>
      </c>
      <c r="N238" s="114">
        <f t="shared" si="75"/>
        <v>847.65663716814151</v>
      </c>
      <c r="O238" s="114">
        <f t="shared" si="76"/>
        <v>1483.3170731707316</v>
      </c>
      <c r="P238" s="114">
        <f t="shared" si="77"/>
        <v>533.99414634146342</v>
      </c>
      <c r="Q238" s="195">
        <f t="shared" si="78"/>
        <v>1378.8285430606518</v>
      </c>
      <c r="R238" s="185">
        <f t="shared" si="79"/>
        <v>86.176783941290736</v>
      </c>
    </row>
    <row r="239" spans="1:18">
      <c r="A239" s="186">
        <v>38834</v>
      </c>
      <c r="B239" s="187" t="s">
        <v>211</v>
      </c>
      <c r="C239" s="114">
        <f t="shared" si="64"/>
        <v>1338.053097345133</v>
      </c>
      <c r="D239" s="114">
        <f t="shared" si="65"/>
        <v>735.92920353982322</v>
      </c>
      <c r="E239" s="185">
        <f t="shared" si="66"/>
        <v>267.61061946902663</v>
      </c>
      <c r="F239" s="114">
        <f t="shared" si="67"/>
        <v>16.725663716814164</v>
      </c>
      <c r="G239" s="114">
        <f t="shared" si="68"/>
        <v>945.132743362832</v>
      </c>
      <c r="H239" s="114">
        <f t="shared" si="69"/>
        <v>378.05309734513281</v>
      </c>
      <c r="I239" s="114">
        <f t="shared" si="70"/>
        <v>1194.6902654867258</v>
      </c>
      <c r="J239" s="185">
        <f t="shared" si="71"/>
        <v>418.14159292035401</v>
      </c>
      <c r="K239" s="193">
        <f t="shared" si="72"/>
        <v>534.95575221238948</v>
      </c>
      <c r="L239" s="184">
        <f t="shared" si="73"/>
        <v>33.434734513274343</v>
      </c>
      <c r="M239" s="184">
        <f t="shared" si="74"/>
        <v>1741.4513274336284</v>
      </c>
      <c r="N239" s="114">
        <f t="shared" si="75"/>
        <v>522.43539823008848</v>
      </c>
      <c r="O239" s="114">
        <f t="shared" si="76"/>
        <v>914.21138211382117</v>
      </c>
      <c r="P239" s="114">
        <f t="shared" si="77"/>
        <v>329.11609756097562</v>
      </c>
      <c r="Q239" s="195">
        <f t="shared" si="78"/>
        <v>849.81206705518389</v>
      </c>
      <c r="R239" s="185">
        <f t="shared" si="79"/>
        <v>53.113254190948993</v>
      </c>
    </row>
    <row r="240" spans="1:18">
      <c r="A240" s="186">
        <v>38835</v>
      </c>
      <c r="B240" s="187" t="s">
        <v>212</v>
      </c>
      <c r="C240" s="114">
        <f t="shared" si="64"/>
        <v>1338.053097345133</v>
      </c>
      <c r="D240" s="114">
        <f t="shared" si="65"/>
        <v>735.92920353982322</v>
      </c>
      <c r="E240" s="185">
        <f t="shared" si="66"/>
        <v>267.61061946902663</v>
      </c>
      <c r="F240" s="114">
        <f t="shared" si="67"/>
        <v>16.725663716814164</v>
      </c>
      <c r="G240" s="114">
        <f t="shared" si="68"/>
        <v>945.132743362832</v>
      </c>
      <c r="H240" s="114">
        <f t="shared" si="69"/>
        <v>378.05309734513281</v>
      </c>
      <c r="I240" s="114">
        <f t="shared" si="70"/>
        <v>0</v>
      </c>
      <c r="J240" s="185">
        <f t="shared" si="71"/>
        <v>0</v>
      </c>
      <c r="K240" s="193">
        <f t="shared" si="72"/>
        <v>236.283185840708</v>
      </c>
      <c r="L240" s="184">
        <f t="shared" si="73"/>
        <v>14.76769911504425</v>
      </c>
      <c r="M240" s="184">
        <f t="shared" si="74"/>
        <v>3465.5575221238942</v>
      </c>
      <c r="N240" s="114">
        <f t="shared" si="75"/>
        <v>1039.6672566371683</v>
      </c>
      <c r="O240" s="114">
        <f t="shared" si="76"/>
        <v>1819.3170731707319</v>
      </c>
      <c r="P240" s="114">
        <f t="shared" si="77"/>
        <v>654.95414634146346</v>
      </c>
      <c r="Q240" s="195">
        <f t="shared" si="78"/>
        <v>1691.1598704942805</v>
      </c>
      <c r="R240" s="185">
        <f t="shared" si="79"/>
        <v>105.69749190589253</v>
      </c>
    </row>
    <row r="241" spans="1:18">
      <c r="A241" s="186">
        <v>38836</v>
      </c>
      <c r="B241" s="187" t="s">
        <v>213</v>
      </c>
      <c r="C241" s="114">
        <f t="shared" si="64"/>
        <v>1720.353982300885</v>
      </c>
      <c r="D241" s="114">
        <f t="shared" si="65"/>
        <v>946.19469026548688</v>
      </c>
      <c r="E241" s="185">
        <f t="shared" si="66"/>
        <v>344.07079646017701</v>
      </c>
      <c r="F241" s="114">
        <f t="shared" si="67"/>
        <v>21.504424778761063</v>
      </c>
      <c r="G241" s="114">
        <f t="shared" si="68"/>
        <v>0</v>
      </c>
      <c r="H241" s="114">
        <f t="shared" si="69"/>
        <v>0</v>
      </c>
      <c r="I241" s="114">
        <f t="shared" si="70"/>
        <v>0</v>
      </c>
      <c r="J241" s="185">
        <f t="shared" si="71"/>
        <v>0</v>
      </c>
      <c r="K241" s="193">
        <f t="shared" si="72"/>
        <v>0</v>
      </c>
      <c r="L241" s="184">
        <f t="shared" si="73"/>
        <v>0</v>
      </c>
      <c r="M241" s="184">
        <f t="shared" si="74"/>
        <v>5893.8761061946916</v>
      </c>
      <c r="N241" s="114">
        <f t="shared" si="75"/>
        <v>1768.1628318584073</v>
      </c>
      <c r="O241" s="114">
        <f t="shared" si="76"/>
        <v>3094.1138211382117</v>
      </c>
      <c r="P241" s="114">
        <f t="shared" si="77"/>
        <v>1113.8809756097562</v>
      </c>
      <c r="Q241" s="195">
        <f t="shared" si="78"/>
        <v>2876.156776746529</v>
      </c>
      <c r="R241" s="185">
        <f t="shared" si="79"/>
        <v>179.75979854665806</v>
      </c>
    </row>
    <row r="242" spans="1:18">
      <c r="A242" s="186">
        <v>38837</v>
      </c>
      <c r="B242" s="187" t="s">
        <v>214</v>
      </c>
      <c r="C242" s="114">
        <f t="shared" si="64"/>
        <v>1720.353982300885</v>
      </c>
      <c r="D242" s="114">
        <f t="shared" si="65"/>
        <v>946.19469026548688</v>
      </c>
      <c r="E242" s="185">
        <f t="shared" si="66"/>
        <v>344.07079646017701</v>
      </c>
      <c r="F242" s="114">
        <f t="shared" si="67"/>
        <v>21.504424778761063</v>
      </c>
      <c r="G242" s="114">
        <f t="shared" si="68"/>
        <v>0</v>
      </c>
      <c r="H242" s="114">
        <f t="shared" si="69"/>
        <v>0</v>
      </c>
      <c r="I242" s="114">
        <f t="shared" si="70"/>
        <v>0</v>
      </c>
      <c r="J242" s="185">
        <f t="shared" si="71"/>
        <v>0</v>
      </c>
      <c r="K242" s="193">
        <f t="shared" si="72"/>
        <v>0</v>
      </c>
      <c r="L242" s="184">
        <f t="shared" si="73"/>
        <v>0</v>
      </c>
      <c r="M242" s="184">
        <f t="shared" si="74"/>
        <v>3443.0088495575228</v>
      </c>
      <c r="N242" s="114">
        <f t="shared" si="75"/>
        <v>1032.9026548672568</v>
      </c>
      <c r="O242" s="114">
        <f t="shared" si="76"/>
        <v>1807.4796747967482</v>
      </c>
      <c r="P242" s="114">
        <f t="shared" si="77"/>
        <v>650.69268292682932</v>
      </c>
      <c r="Q242" s="195">
        <f t="shared" si="78"/>
        <v>1680.1563277933669</v>
      </c>
      <c r="R242" s="185">
        <f t="shared" si="79"/>
        <v>105.00977048708543</v>
      </c>
    </row>
    <row r="243" spans="1:18" s="3" customFormat="1" ht="15">
      <c r="A243" s="159" t="s">
        <v>254</v>
      </c>
      <c r="B243" s="159"/>
      <c r="C243" s="116">
        <f t="shared" si="64"/>
        <v>38994.690265486708</v>
      </c>
      <c r="D243" s="116">
        <f t="shared" si="65"/>
        <v>21447.07964601769</v>
      </c>
      <c r="E243" s="181">
        <f t="shared" si="66"/>
        <v>7798.9380530973422</v>
      </c>
      <c r="F243" s="116">
        <f t="shared" si="67"/>
        <v>487.43362831858389</v>
      </c>
      <c r="G243" s="116">
        <f>SUM(G213:G242)</f>
        <v>17012.389380530974</v>
      </c>
      <c r="H243" s="116">
        <f t="shared" si="69"/>
        <v>6804.9557522123905</v>
      </c>
      <c r="I243" s="116">
        <f>SUM(I213:I242)</f>
        <v>8362.8318584070821</v>
      </c>
      <c r="J243" s="181">
        <f t="shared" si="71"/>
        <v>2926.9911504424786</v>
      </c>
      <c r="K243" s="194">
        <f t="shared" si="72"/>
        <v>6343.8053097345146</v>
      </c>
      <c r="L243" s="180">
        <f t="shared" si="73"/>
        <v>396.48783185840716</v>
      </c>
      <c r="M243" s="116">
        <f>SUM(M213:M242)</f>
        <v>84362.389380530993</v>
      </c>
      <c r="N243" s="116">
        <f t="shared" ref="N243:P243" si="80">SUM(N213:N242)</f>
        <v>25308.716814159292</v>
      </c>
      <c r="O243" s="116">
        <f t="shared" si="80"/>
        <v>44287.804878048781</v>
      </c>
      <c r="P243" s="116">
        <f t="shared" si="80"/>
        <v>15943.609756097565</v>
      </c>
      <c r="Q243" s="196">
        <f t="shared" si="78"/>
        <v>41168.062162745533</v>
      </c>
      <c r="R243" s="181">
        <f t="shared" si="79"/>
        <v>2573.0038851715958</v>
      </c>
    </row>
    <row r="245" spans="1:18" ht="15">
      <c r="A245" s="3" t="s">
        <v>456</v>
      </c>
    </row>
    <row r="246" spans="1:18" ht="15">
      <c r="B246" s="23"/>
      <c r="C246" s="65" t="s">
        <v>122</v>
      </c>
    </row>
    <row r="247" spans="1:18" ht="15">
      <c r="A247" s="3" t="s">
        <v>2</v>
      </c>
      <c r="B247" s="28">
        <f>C243+G243+I243+M243+O243</f>
        <v>193020.10576300451</v>
      </c>
      <c r="C247" s="197">
        <f t="shared" ref="C247:C255" si="81">B247/$B$247</f>
        <v>1</v>
      </c>
    </row>
    <row r="248" spans="1:18">
      <c r="A248" s="4" t="s">
        <v>3</v>
      </c>
      <c r="B248" s="22">
        <f>D243+H243+J243+N243+P243</f>
        <v>72431.353118929415</v>
      </c>
      <c r="C248" s="198">
        <f t="shared" si="81"/>
        <v>0.37525289312535481</v>
      </c>
    </row>
    <row r="249" spans="1:18" ht="15">
      <c r="A249" s="3" t="s">
        <v>4</v>
      </c>
      <c r="B249" s="28">
        <f>B247-B248</f>
        <v>120588.7526440751</v>
      </c>
      <c r="C249" s="197">
        <f t="shared" si="81"/>
        <v>0.62474710687464519</v>
      </c>
    </row>
    <row r="250" spans="1:18">
      <c r="A250" s="4" t="s">
        <v>116</v>
      </c>
      <c r="B250" s="22">
        <f>E243+K243+Q243</f>
        <v>55310.805525577394</v>
      </c>
      <c r="C250" s="198">
        <f t="shared" si="81"/>
        <v>0.28655463277742449</v>
      </c>
    </row>
    <row r="251" spans="1:18" ht="15">
      <c r="A251" s="3" t="s">
        <v>70</v>
      </c>
      <c r="B251" s="28">
        <f>B249-B250</f>
        <v>65277.947118497701</v>
      </c>
      <c r="C251" s="197">
        <f t="shared" si="81"/>
        <v>0.3381924740972207</v>
      </c>
    </row>
    <row r="252" spans="1:18">
      <c r="A252" s="4" t="s">
        <v>457</v>
      </c>
      <c r="B252" s="23">
        <f>30*400</f>
        <v>12000</v>
      </c>
      <c r="C252" s="198">
        <f t="shared" si="81"/>
        <v>6.2169689279592127E-2</v>
      </c>
    </row>
    <row r="253" spans="1:18">
      <c r="A253" s="4" t="s">
        <v>458</v>
      </c>
      <c r="B253" s="23">
        <f>15000</f>
        <v>15000</v>
      </c>
      <c r="C253" s="198">
        <f t="shared" si="81"/>
        <v>7.7712111599490152E-2</v>
      </c>
    </row>
    <row r="254" spans="1:18">
      <c r="A254" s="4" t="s">
        <v>459</v>
      </c>
      <c r="B254" s="22">
        <f>3%*B247</f>
        <v>5790.6031728901353</v>
      </c>
      <c r="C254" s="198">
        <f t="shared" si="81"/>
        <v>0.03</v>
      </c>
    </row>
    <row r="255" spans="1:18">
      <c r="A255" s="4" t="s">
        <v>186</v>
      </c>
      <c r="B255" s="22">
        <f>12000+2%*B247</f>
        <v>15860.402115260091</v>
      </c>
      <c r="C255" s="198">
        <f t="shared" si="81"/>
        <v>8.2169689279592131E-2</v>
      </c>
    </row>
    <row r="256" spans="1:18" ht="15">
      <c r="A256" s="3" t="s">
        <v>75</v>
      </c>
      <c r="B256" s="28">
        <f>B251-B252-B253-B254-B255</f>
        <v>16626.941830347474</v>
      </c>
      <c r="C256" s="197">
        <f>B256/$B$247</f>
        <v>8.6140983938546273E-2</v>
      </c>
    </row>
    <row r="258" spans="1:7" ht="15">
      <c r="A258" s="3" t="s">
        <v>463</v>
      </c>
    </row>
    <row r="260" spans="1:7" ht="15">
      <c r="A260" s="9"/>
      <c r="B260" s="10"/>
      <c r="C260" s="10"/>
      <c r="D260" s="10"/>
      <c r="E260" s="10"/>
      <c r="F260" s="10"/>
      <c r="G260" s="10"/>
    </row>
    <row r="261" spans="1:7" ht="15">
      <c r="A261" s="9" t="s">
        <v>483</v>
      </c>
      <c r="B261" s="19" t="s">
        <v>464</v>
      </c>
      <c r="C261" s="19" t="s">
        <v>465</v>
      </c>
      <c r="D261" s="19" t="s">
        <v>466</v>
      </c>
      <c r="E261" s="19" t="s">
        <v>467</v>
      </c>
      <c r="F261" s="19" t="s">
        <v>468</v>
      </c>
      <c r="G261" s="19" t="s">
        <v>254</v>
      </c>
    </row>
    <row r="262" spans="1:7">
      <c r="A262" s="10" t="s">
        <v>151</v>
      </c>
      <c r="B262" s="13">
        <v>50</v>
      </c>
      <c r="C262" s="13">
        <v>50</v>
      </c>
      <c r="D262" s="13">
        <v>50</v>
      </c>
      <c r="E262" s="13">
        <v>50</v>
      </c>
      <c r="F262" s="13">
        <v>50</v>
      </c>
      <c r="G262" s="13">
        <v>50</v>
      </c>
    </row>
    <row r="263" spans="1:7">
      <c r="A263" s="10" t="s">
        <v>154</v>
      </c>
      <c r="B263" s="12">
        <v>0.4</v>
      </c>
      <c r="C263" s="12">
        <v>0.9</v>
      </c>
      <c r="D263" s="12">
        <v>0.9</v>
      </c>
      <c r="E263" s="12">
        <v>0.9</v>
      </c>
      <c r="F263" s="12">
        <v>0.65</v>
      </c>
      <c r="G263" s="204">
        <f>G265/(G262*G264)</f>
        <v>0.74967320261437909</v>
      </c>
    </row>
    <row r="264" spans="1:7">
      <c r="A264" s="10" t="s">
        <v>175</v>
      </c>
      <c r="B264" s="13">
        <v>31</v>
      </c>
      <c r="C264" s="13">
        <v>30</v>
      </c>
      <c r="D264" s="13">
        <v>31</v>
      </c>
      <c r="E264" s="13">
        <v>31</v>
      </c>
      <c r="F264" s="13">
        <v>30</v>
      </c>
      <c r="G264" s="13">
        <f>SUM(B264:F264)</f>
        <v>153</v>
      </c>
    </row>
    <row r="265" spans="1:7">
      <c r="A265" s="10" t="s">
        <v>469</v>
      </c>
      <c r="B265" s="200">
        <f>B262*B263*B264</f>
        <v>620</v>
      </c>
      <c r="C265" s="200">
        <f>C262*C263*C264</f>
        <v>1350</v>
      </c>
      <c r="D265" s="200">
        <f>D262*D263*D264</f>
        <v>1395</v>
      </c>
      <c r="E265" s="200">
        <f>E262*E263*E264</f>
        <v>1395</v>
      </c>
      <c r="F265" s="200">
        <f>F262*F263*F264</f>
        <v>975</v>
      </c>
      <c r="G265" s="200">
        <f>SUM(B265:F265)</f>
        <v>5735</v>
      </c>
    </row>
    <row r="266" spans="1:7">
      <c r="A266" s="10" t="s">
        <v>262</v>
      </c>
      <c r="B266" s="12">
        <v>0.8</v>
      </c>
      <c r="C266" s="12">
        <v>0.9</v>
      </c>
      <c r="D266" s="12">
        <v>0.9</v>
      </c>
      <c r="E266" s="12">
        <v>0.9</v>
      </c>
      <c r="F266" s="12">
        <v>0.8</v>
      </c>
      <c r="G266" s="199">
        <f>G267/G265-1</f>
        <v>0.87218831734960767</v>
      </c>
    </row>
    <row r="267" spans="1:7">
      <c r="A267" s="10" t="s">
        <v>470</v>
      </c>
      <c r="B267" s="201">
        <f>B265+B266*B265</f>
        <v>1116</v>
      </c>
      <c r="C267" s="201">
        <f>C265+C266*C265</f>
        <v>2565</v>
      </c>
      <c r="D267" s="201">
        <f>D265+D266*D265</f>
        <v>2650.5</v>
      </c>
      <c r="E267" s="201">
        <f>E265+E266*E265</f>
        <v>2650.5</v>
      </c>
      <c r="F267" s="201">
        <f>F265+F266*F265</f>
        <v>1755</v>
      </c>
      <c r="G267" s="201">
        <f t="shared" ref="G267:G273" si="82">SUM(B267:F267)</f>
        <v>10737</v>
      </c>
    </row>
    <row r="268" spans="1:7">
      <c r="A268" s="10" t="s">
        <v>493</v>
      </c>
      <c r="B268" s="201">
        <f>90%*B267</f>
        <v>1004.4</v>
      </c>
      <c r="C268" s="201">
        <f t="shared" ref="C268:G268" si="83">90%*C267</f>
        <v>2308.5</v>
      </c>
      <c r="D268" s="201">
        <f t="shared" si="83"/>
        <v>2385.4500000000003</v>
      </c>
      <c r="E268" s="201">
        <f t="shared" si="83"/>
        <v>2385.4500000000003</v>
      </c>
      <c r="F268" s="201">
        <f t="shared" si="83"/>
        <v>1579.5</v>
      </c>
      <c r="G268" s="201">
        <f t="shared" si="83"/>
        <v>9663.3000000000011</v>
      </c>
    </row>
    <row r="269" spans="1:7">
      <c r="A269" s="10" t="s">
        <v>471</v>
      </c>
      <c r="B269" s="13">
        <f>30*B264</f>
        <v>930</v>
      </c>
      <c r="C269" s="13">
        <f>30*C264</f>
        <v>900</v>
      </c>
      <c r="D269" s="13">
        <f>30*D264</f>
        <v>930</v>
      </c>
      <c r="E269" s="13">
        <f>30*E264</f>
        <v>930</v>
      </c>
      <c r="F269" s="13">
        <f>30*F264</f>
        <v>900</v>
      </c>
      <c r="G269" s="13">
        <f t="shared" si="82"/>
        <v>4590</v>
      </c>
    </row>
    <row r="270" spans="1:7">
      <c r="A270" s="10" t="s">
        <v>402</v>
      </c>
      <c r="B270" s="201">
        <f>B267+B269</f>
        <v>2046</v>
      </c>
      <c r="C270" s="201">
        <f>C267+C269</f>
        <v>3465</v>
      </c>
      <c r="D270" s="201">
        <f>D267+D269</f>
        <v>3580.5</v>
      </c>
      <c r="E270" s="201">
        <f>E267+E269</f>
        <v>3580.5</v>
      </c>
      <c r="F270" s="201">
        <f>F267+F269</f>
        <v>2655</v>
      </c>
      <c r="G270" s="201">
        <f t="shared" si="82"/>
        <v>15327</v>
      </c>
    </row>
    <row r="271" spans="1:7">
      <c r="A271" s="10" t="s">
        <v>472</v>
      </c>
      <c r="B271" s="14">
        <f>20%*B270</f>
        <v>409.20000000000005</v>
      </c>
      <c r="C271" s="14">
        <f t="shared" ref="C271:F271" si="84">20%*C270</f>
        <v>693</v>
      </c>
      <c r="D271" s="14">
        <f t="shared" si="84"/>
        <v>716.1</v>
      </c>
      <c r="E271" s="14">
        <f t="shared" si="84"/>
        <v>716.1</v>
      </c>
      <c r="F271" s="14">
        <f t="shared" si="84"/>
        <v>531</v>
      </c>
      <c r="G271" s="202">
        <f t="shared" si="82"/>
        <v>3065.4</v>
      </c>
    </row>
    <row r="272" spans="1:7">
      <c r="A272" s="10" t="s">
        <v>473</v>
      </c>
      <c r="B272" s="14">
        <f>30%*B270</f>
        <v>613.79999999999995</v>
      </c>
      <c r="C272" s="14">
        <f t="shared" ref="C272:F272" si="85">30%*C270</f>
        <v>1039.5</v>
      </c>
      <c r="D272" s="14">
        <f t="shared" si="85"/>
        <v>1074.1499999999999</v>
      </c>
      <c r="E272" s="14">
        <f t="shared" si="85"/>
        <v>1074.1499999999999</v>
      </c>
      <c r="F272" s="14">
        <f t="shared" si="85"/>
        <v>796.5</v>
      </c>
      <c r="G272" s="202">
        <f t="shared" si="82"/>
        <v>4598.0999999999995</v>
      </c>
    </row>
    <row r="273" spans="1:10">
      <c r="A273" s="10" t="s">
        <v>474</v>
      </c>
      <c r="B273" s="14">
        <f>30%*B267</f>
        <v>334.8</v>
      </c>
      <c r="C273" s="14">
        <f t="shared" ref="C273:F273" si="86">30%*C267</f>
        <v>769.5</v>
      </c>
      <c r="D273" s="14">
        <f t="shared" si="86"/>
        <v>795.15</v>
      </c>
      <c r="E273" s="14">
        <f t="shared" si="86"/>
        <v>795.15</v>
      </c>
      <c r="F273" s="14">
        <f t="shared" si="86"/>
        <v>526.5</v>
      </c>
      <c r="G273" s="202">
        <f t="shared" si="82"/>
        <v>3221.1</v>
      </c>
    </row>
    <row r="274" spans="1:10">
      <c r="A274" s="10"/>
      <c r="B274" s="206"/>
      <c r="C274" s="206"/>
      <c r="D274" s="206"/>
      <c r="E274" s="206"/>
      <c r="F274" s="206"/>
      <c r="G274" s="207"/>
    </row>
    <row r="275" spans="1:10" ht="15">
      <c r="A275" s="9" t="s">
        <v>503</v>
      </c>
      <c r="B275" s="19" t="s">
        <v>464</v>
      </c>
      <c r="C275" s="19" t="s">
        <v>465</v>
      </c>
      <c r="D275" s="19" t="s">
        <v>466</v>
      </c>
      <c r="E275" s="19" t="s">
        <v>467</v>
      </c>
      <c r="F275" s="19" t="s">
        <v>468</v>
      </c>
      <c r="G275" s="10"/>
    </row>
    <row r="276" spans="1:10">
      <c r="A276" s="10" t="s">
        <v>475</v>
      </c>
      <c r="B276" s="18">
        <f>120/1.09</f>
        <v>110.09174311926604</v>
      </c>
      <c r="C276" s="18">
        <f t="shared" ref="C276:F276" si="87">120/1.09</f>
        <v>110.09174311926604</v>
      </c>
      <c r="D276" s="18">
        <f t="shared" si="87"/>
        <v>110.09174311926604</v>
      </c>
      <c r="E276" s="18">
        <f t="shared" si="87"/>
        <v>110.09174311926604</v>
      </c>
      <c r="F276" s="18">
        <f t="shared" si="87"/>
        <v>110.09174311926604</v>
      </c>
      <c r="G276" s="10"/>
    </row>
    <row r="277" spans="1:10">
      <c r="A277" s="10" t="s">
        <v>476</v>
      </c>
      <c r="B277" s="12">
        <v>0.25</v>
      </c>
      <c r="C277" s="12">
        <v>0.1</v>
      </c>
      <c r="D277" s="12">
        <v>0</v>
      </c>
      <c r="E277" s="12">
        <v>0</v>
      </c>
      <c r="F277" s="12">
        <v>0.2</v>
      </c>
      <c r="G277" s="10"/>
    </row>
    <row r="278" spans="1:10">
      <c r="A278" s="10" t="s">
        <v>477</v>
      </c>
      <c r="B278" s="18">
        <f>B276-B277*B276</f>
        <v>82.568807339449535</v>
      </c>
      <c r="C278" s="18">
        <f>C276-C277*C276</f>
        <v>99.082568807339442</v>
      </c>
      <c r="D278" s="18">
        <f>D276-D277*D276</f>
        <v>110.09174311926604</v>
      </c>
      <c r="E278" s="18">
        <f>E276-E277*E276</f>
        <v>110.09174311926604</v>
      </c>
      <c r="F278" s="18">
        <f>F276-F277*F276</f>
        <v>88.073394495412828</v>
      </c>
      <c r="G278" s="205"/>
      <c r="J278" s="23"/>
    </row>
    <row r="279" spans="1:10">
      <c r="A279" s="10" t="s">
        <v>494</v>
      </c>
      <c r="B279" s="18">
        <f>8/1.13</f>
        <v>7.0796460176991154</v>
      </c>
      <c r="C279" s="18">
        <f t="shared" ref="C279:F279" si="88">8/1.13</f>
        <v>7.0796460176991154</v>
      </c>
      <c r="D279" s="18">
        <f t="shared" si="88"/>
        <v>7.0796460176991154</v>
      </c>
      <c r="E279" s="18">
        <f t="shared" si="88"/>
        <v>7.0796460176991154</v>
      </c>
      <c r="F279" s="18">
        <f t="shared" si="88"/>
        <v>7.0796460176991154</v>
      </c>
      <c r="G279" s="205"/>
    </row>
    <row r="280" spans="1:10">
      <c r="A280" s="10" t="s">
        <v>481</v>
      </c>
      <c r="B280" s="18">
        <f>5/1.13</f>
        <v>4.4247787610619476</v>
      </c>
      <c r="C280" s="18">
        <f t="shared" ref="C280:F280" si="89">5/1.13</f>
        <v>4.4247787610619476</v>
      </c>
      <c r="D280" s="18">
        <f t="shared" si="89"/>
        <v>4.4247787610619476</v>
      </c>
      <c r="E280" s="18">
        <f t="shared" si="89"/>
        <v>4.4247787610619476</v>
      </c>
      <c r="F280" s="18">
        <f t="shared" si="89"/>
        <v>4.4247787610619476</v>
      </c>
      <c r="G280" s="10"/>
    </row>
    <row r="281" spans="1:10">
      <c r="A281" s="10" t="s">
        <v>482</v>
      </c>
      <c r="B281" s="18">
        <f>5/1.23</f>
        <v>4.0650406504065044</v>
      </c>
      <c r="C281" s="18">
        <f t="shared" ref="C281:F281" si="90">5/1.23</f>
        <v>4.0650406504065044</v>
      </c>
      <c r="D281" s="18">
        <f t="shared" si="90"/>
        <v>4.0650406504065044</v>
      </c>
      <c r="E281" s="18">
        <f t="shared" si="90"/>
        <v>4.0650406504065044</v>
      </c>
      <c r="F281" s="18">
        <f t="shared" si="90"/>
        <v>4.0650406504065044</v>
      </c>
      <c r="G281" s="10"/>
    </row>
    <row r="282" spans="1:10">
      <c r="A282" s="10" t="s">
        <v>478</v>
      </c>
      <c r="B282" s="18">
        <f>7.5/1.13</f>
        <v>6.6371681415929213</v>
      </c>
      <c r="C282" s="18">
        <f t="shared" ref="C282:F282" si="91">7.5/1.13</f>
        <v>6.6371681415929213</v>
      </c>
      <c r="D282" s="18">
        <f t="shared" si="91"/>
        <v>6.6371681415929213</v>
      </c>
      <c r="E282" s="18">
        <f t="shared" si="91"/>
        <v>6.6371681415929213</v>
      </c>
      <c r="F282" s="18">
        <f t="shared" si="91"/>
        <v>6.6371681415929213</v>
      </c>
      <c r="G282" s="10"/>
    </row>
    <row r="283" spans="1:10">
      <c r="A283" s="10" t="s">
        <v>479</v>
      </c>
      <c r="B283" s="18">
        <f>6/1.23</f>
        <v>4.8780487804878048</v>
      </c>
      <c r="C283" s="18">
        <f t="shared" ref="C283:F283" si="92">6/1.23</f>
        <v>4.8780487804878048</v>
      </c>
      <c r="D283" s="18">
        <f t="shared" si="92"/>
        <v>4.8780487804878048</v>
      </c>
      <c r="E283" s="18">
        <f t="shared" si="92"/>
        <v>4.8780487804878048</v>
      </c>
      <c r="F283" s="18">
        <f t="shared" si="92"/>
        <v>4.8780487804878048</v>
      </c>
      <c r="G283" s="10"/>
    </row>
    <row r="284" spans="1:10">
      <c r="A284" s="10" t="s">
        <v>480</v>
      </c>
      <c r="B284" s="18">
        <f>12/1.23</f>
        <v>9.7560975609756095</v>
      </c>
      <c r="C284" s="18">
        <f t="shared" ref="C284:F284" si="93">12/1.23</f>
        <v>9.7560975609756095</v>
      </c>
      <c r="D284" s="18">
        <f t="shared" si="93"/>
        <v>9.7560975609756095</v>
      </c>
      <c r="E284" s="18">
        <f t="shared" si="93"/>
        <v>9.7560975609756095</v>
      </c>
      <c r="F284" s="18">
        <f t="shared" si="93"/>
        <v>9.7560975609756095</v>
      </c>
      <c r="G284" s="10"/>
    </row>
    <row r="285" spans="1:10">
      <c r="A285" s="10"/>
      <c r="B285" s="10"/>
      <c r="C285" s="10"/>
      <c r="D285" s="10"/>
      <c r="E285" s="10"/>
      <c r="F285" s="10"/>
      <c r="G285" s="10"/>
    </row>
    <row r="286" spans="1:10" ht="15">
      <c r="A286" s="9" t="s">
        <v>484</v>
      </c>
      <c r="B286" s="19" t="s">
        <v>464</v>
      </c>
      <c r="C286" s="19" t="s">
        <v>465</v>
      </c>
      <c r="D286" s="19" t="s">
        <v>466</v>
      </c>
      <c r="E286" s="19" t="s">
        <v>467</v>
      </c>
      <c r="F286" s="19" t="s">
        <v>468</v>
      </c>
      <c r="G286" s="19" t="s">
        <v>254</v>
      </c>
      <c r="H286" s="113" t="s">
        <v>122</v>
      </c>
    </row>
    <row r="287" spans="1:10">
      <c r="A287" s="10" t="s">
        <v>485</v>
      </c>
      <c r="B287" s="14">
        <f>B265*B278</f>
        <v>51192.660550458713</v>
      </c>
      <c r="C287" s="14">
        <f>C265*C278</f>
        <v>133761.46788990824</v>
      </c>
      <c r="D287" s="14">
        <f>D265*D278</f>
        <v>153577.98165137612</v>
      </c>
      <c r="E287" s="14">
        <f>E265*E278</f>
        <v>153577.98165137612</v>
      </c>
      <c r="F287" s="14">
        <f>F265*F278</f>
        <v>85871.5596330275</v>
      </c>
      <c r="G287" s="14">
        <f t="shared" ref="G287:G294" si="94">SUM(B287:F287)</f>
        <v>577981.65137614671</v>
      </c>
      <c r="H287" s="198">
        <f t="shared" ref="H287:H295" si="95">G287/$G$295</f>
        <v>0.66189804225760718</v>
      </c>
    </row>
    <row r="288" spans="1:10">
      <c r="A288" s="10" t="s">
        <v>495</v>
      </c>
      <c r="B288" s="14">
        <f>B268*B279</f>
        <v>7110.7964601769918</v>
      </c>
      <c r="C288" s="14">
        <f t="shared" ref="C288:F288" si="96">C268*C279</f>
        <v>16343.362831858409</v>
      </c>
      <c r="D288" s="14">
        <f t="shared" si="96"/>
        <v>16888.141592920358</v>
      </c>
      <c r="E288" s="14">
        <f t="shared" si="96"/>
        <v>16888.141592920358</v>
      </c>
      <c r="F288" s="14">
        <f t="shared" si="96"/>
        <v>11182.300884955754</v>
      </c>
      <c r="G288" s="14">
        <f t="shared" si="94"/>
        <v>68412.743362831869</v>
      </c>
      <c r="H288" s="198">
        <f t="shared" si="95"/>
        <v>7.8345499012841713E-2</v>
      </c>
    </row>
    <row r="289" spans="1:8">
      <c r="A289" s="10" t="s">
        <v>486</v>
      </c>
      <c r="B289" s="14">
        <f>B271*B282</f>
        <v>2715.9292035398239</v>
      </c>
      <c r="C289" s="14">
        <f>C271*C282</f>
        <v>4599.5575221238942</v>
      </c>
      <c r="D289" s="14">
        <f>D271*D282</f>
        <v>4752.8761061946907</v>
      </c>
      <c r="E289" s="14">
        <f>E271*E282</f>
        <v>4752.8761061946907</v>
      </c>
      <c r="F289" s="14">
        <f>F271*F282</f>
        <v>3524.3362831858412</v>
      </c>
      <c r="G289" s="14">
        <f t="shared" si="94"/>
        <v>20345.575221238942</v>
      </c>
      <c r="H289" s="198">
        <f t="shared" si="95"/>
        <v>2.3299522355907626E-2</v>
      </c>
    </row>
    <row r="290" spans="1:8">
      <c r="A290" s="10" t="s">
        <v>487</v>
      </c>
      <c r="B290" s="14">
        <f>B270*B281</f>
        <v>8317.0731707317082</v>
      </c>
      <c r="C290" s="14">
        <f>C270*C281</f>
        <v>14085.365853658537</v>
      </c>
      <c r="D290" s="14">
        <f>D270*D281</f>
        <v>14554.878048780489</v>
      </c>
      <c r="E290" s="14">
        <f>E270*E281</f>
        <v>14554.878048780489</v>
      </c>
      <c r="F290" s="14">
        <f>F270*F281</f>
        <v>10792.682926829269</v>
      </c>
      <c r="G290" s="14">
        <f t="shared" si="94"/>
        <v>62304.878048780498</v>
      </c>
      <c r="H290" s="198">
        <f t="shared" si="95"/>
        <v>7.135084081890411E-2</v>
      </c>
    </row>
    <row r="291" spans="1:8">
      <c r="A291" s="10" t="s">
        <v>488</v>
      </c>
      <c r="B291" s="14">
        <f>B272*B283</f>
        <v>2994.1463414634145</v>
      </c>
      <c r="C291" s="14">
        <f t="shared" ref="C291:F291" si="97">C272*C283</f>
        <v>5070.7317073170734</v>
      </c>
      <c r="D291" s="14">
        <f t="shared" si="97"/>
        <v>5239.7560975609749</v>
      </c>
      <c r="E291" s="14">
        <f t="shared" si="97"/>
        <v>5239.7560975609749</v>
      </c>
      <c r="F291" s="14">
        <f t="shared" si="97"/>
        <v>3885.3658536585367</v>
      </c>
      <c r="G291" s="14">
        <f t="shared" si="94"/>
        <v>22429.756097560974</v>
      </c>
      <c r="H291" s="198">
        <f t="shared" si="95"/>
        <v>2.5686302694805475E-2</v>
      </c>
    </row>
    <row r="292" spans="1:8">
      <c r="A292" s="10" t="s">
        <v>489</v>
      </c>
      <c r="B292" s="14">
        <f>B270*B280</f>
        <v>9053.0973451327445</v>
      </c>
      <c r="C292" s="14">
        <f t="shared" ref="C292:F292" si="98">C270*C280</f>
        <v>15331.858407079648</v>
      </c>
      <c r="D292" s="14">
        <f t="shared" si="98"/>
        <v>15842.920353982303</v>
      </c>
      <c r="E292" s="14">
        <f t="shared" si="98"/>
        <v>15842.920353982303</v>
      </c>
      <c r="F292" s="14">
        <f t="shared" si="98"/>
        <v>11747.787610619471</v>
      </c>
      <c r="G292" s="14">
        <f t="shared" si="94"/>
        <v>67818.584070796482</v>
      </c>
      <c r="H292" s="198">
        <f t="shared" si="95"/>
        <v>7.7665074519692096E-2</v>
      </c>
    </row>
    <row r="293" spans="1:8">
      <c r="A293" s="10" t="s">
        <v>490</v>
      </c>
      <c r="B293" s="14">
        <f>B273*B284</f>
        <v>3266.3414634146343</v>
      </c>
      <c r="C293" s="14">
        <f t="shared" ref="C293:F293" si="99">C273*C284</f>
        <v>7507.3170731707314</v>
      </c>
      <c r="D293" s="14">
        <f t="shared" si="99"/>
        <v>7757.5609756097556</v>
      </c>
      <c r="E293" s="14">
        <f t="shared" si="99"/>
        <v>7757.5609756097556</v>
      </c>
      <c r="F293" s="14">
        <f t="shared" si="99"/>
        <v>5136.585365853658</v>
      </c>
      <c r="G293" s="14">
        <f t="shared" si="94"/>
        <v>31425.365853658535</v>
      </c>
      <c r="H293" s="198">
        <f t="shared" si="95"/>
        <v>3.5987973123785003E-2</v>
      </c>
    </row>
    <row r="294" spans="1:8">
      <c r="A294" s="10" t="s">
        <v>491</v>
      </c>
      <c r="B294" s="14">
        <v>4500</v>
      </c>
      <c r="C294" s="14">
        <v>4500</v>
      </c>
      <c r="D294" s="14">
        <v>4500</v>
      </c>
      <c r="E294" s="14">
        <v>4500</v>
      </c>
      <c r="F294" s="14">
        <v>4500</v>
      </c>
      <c r="G294" s="14">
        <f t="shared" si="94"/>
        <v>22500</v>
      </c>
      <c r="H294" s="198">
        <f t="shared" si="95"/>
        <v>2.5766745216456853E-2</v>
      </c>
    </row>
    <row r="295" spans="1:8" ht="15">
      <c r="A295" s="9" t="s">
        <v>276</v>
      </c>
      <c r="B295" s="208">
        <f t="shared" ref="B295:G295" si="100">SUM(B287:B294)</f>
        <v>89150.044534918037</v>
      </c>
      <c r="C295" s="208">
        <f t="shared" si="100"/>
        <v>201199.66128511651</v>
      </c>
      <c r="D295" s="208">
        <f t="shared" si="100"/>
        <v>223114.11482642469</v>
      </c>
      <c r="E295" s="208">
        <f t="shared" si="100"/>
        <v>223114.11482642469</v>
      </c>
      <c r="F295" s="208">
        <f t="shared" si="100"/>
        <v>136640.61855813002</v>
      </c>
      <c r="G295" s="208">
        <f t="shared" si="100"/>
        <v>873218.55403101398</v>
      </c>
      <c r="H295" s="197">
        <f t="shared" si="95"/>
        <v>1</v>
      </c>
    </row>
    <row r="296" spans="1:8" ht="15">
      <c r="A296" s="9" t="s">
        <v>369</v>
      </c>
      <c r="B296" s="10"/>
      <c r="C296" s="10"/>
      <c r="D296" s="10"/>
      <c r="E296" s="10"/>
      <c r="F296" s="10"/>
      <c r="G296" s="10"/>
    </row>
    <row r="297" spans="1:8">
      <c r="A297" s="10" t="s">
        <v>492</v>
      </c>
      <c r="B297" s="14">
        <f>35%*(B288+B289)</f>
        <v>3439.3539823008855</v>
      </c>
      <c r="C297" s="14">
        <f t="shared" ref="C297:G297" si="101">35%*(C288+C289)</f>
        <v>7330.0221238938057</v>
      </c>
      <c r="D297" s="14">
        <f t="shared" si="101"/>
        <v>7574.3561946902664</v>
      </c>
      <c r="E297" s="14">
        <f t="shared" si="101"/>
        <v>7574.3561946902664</v>
      </c>
      <c r="F297" s="14">
        <f t="shared" si="101"/>
        <v>5147.3230088495575</v>
      </c>
      <c r="G297" s="14">
        <f t="shared" si="101"/>
        <v>31065.411504424777</v>
      </c>
      <c r="H297" s="198">
        <f t="shared" ref="H297:H305" si="102">G297/$G$295</f>
        <v>3.5575757479062262E-2</v>
      </c>
    </row>
    <row r="298" spans="1:8">
      <c r="A298" s="10" t="s">
        <v>496</v>
      </c>
      <c r="B298" s="14">
        <f>30%*(B290+B291+B292)</f>
        <v>6109.2950571983602</v>
      </c>
      <c r="C298" s="14">
        <f t="shared" ref="C298:G298" si="103">30%*(C290+C291+C292)</f>
        <v>10346.386790416576</v>
      </c>
      <c r="D298" s="14">
        <f t="shared" si="103"/>
        <v>10691.266350097128</v>
      </c>
      <c r="E298" s="14">
        <f t="shared" si="103"/>
        <v>10691.266350097128</v>
      </c>
      <c r="F298" s="14">
        <f t="shared" si="103"/>
        <v>7927.7509173321832</v>
      </c>
      <c r="G298" s="14">
        <f t="shared" si="103"/>
        <v>45765.965465141388</v>
      </c>
      <c r="H298" s="198">
        <f t="shared" si="102"/>
        <v>5.2410665410020506E-2</v>
      </c>
    </row>
    <row r="299" spans="1:8">
      <c r="A299" s="10" t="s">
        <v>116</v>
      </c>
      <c r="B299" s="13">
        <f>5*3000+6*4000</f>
        <v>39000</v>
      </c>
      <c r="C299" s="13">
        <f t="shared" ref="C299:F299" si="104">5*3000+6*4000</f>
        <v>39000</v>
      </c>
      <c r="D299" s="13">
        <f t="shared" si="104"/>
        <v>39000</v>
      </c>
      <c r="E299" s="13">
        <f t="shared" si="104"/>
        <v>39000</v>
      </c>
      <c r="F299" s="13">
        <f t="shared" si="104"/>
        <v>39000</v>
      </c>
      <c r="G299" s="13">
        <f>SUM(B299:F299)</f>
        <v>195000</v>
      </c>
      <c r="H299" s="198">
        <f t="shared" si="102"/>
        <v>0.2233117918759594</v>
      </c>
    </row>
    <row r="300" spans="1:8">
      <c r="A300" s="10" t="s">
        <v>373</v>
      </c>
      <c r="B300" s="14">
        <f>6.5*B265</f>
        <v>4030</v>
      </c>
      <c r="C300" s="14">
        <f t="shared" ref="C300:G300" si="105">6.5*C265</f>
        <v>8775</v>
      </c>
      <c r="D300" s="14">
        <f t="shared" si="105"/>
        <v>9067.5</v>
      </c>
      <c r="E300" s="14">
        <f t="shared" si="105"/>
        <v>9067.5</v>
      </c>
      <c r="F300" s="14">
        <f t="shared" si="105"/>
        <v>6337.5</v>
      </c>
      <c r="G300" s="14">
        <f t="shared" si="105"/>
        <v>37277.5</v>
      </c>
      <c r="H300" s="198">
        <f t="shared" si="102"/>
        <v>4.2689770880287574E-2</v>
      </c>
    </row>
    <row r="301" spans="1:8">
      <c r="A301" s="10" t="s">
        <v>497</v>
      </c>
      <c r="B301" s="13">
        <v>7500</v>
      </c>
      <c r="C301" s="13">
        <v>7500</v>
      </c>
      <c r="D301" s="13">
        <v>7500</v>
      </c>
      <c r="E301" s="13">
        <v>7500</v>
      </c>
      <c r="F301" s="13">
        <v>7500</v>
      </c>
      <c r="G301" s="14">
        <f>SUM(B301:F301)</f>
        <v>37500</v>
      </c>
      <c r="H301" s="198">
        <f t="shared" si="102"/>
        <v>4.2944575360761419E-2</v>
      </c>
    </row>
    <row r="302" spans="1:8">
      <c r="A302" s="10" t="s">
        <v>498</v>
      </c>
      <c r="B302" s="13">
        <v>3500</v>
      </c>
      <c r="C302" s="13">
        <v>3500</v>
      </c>
      <c r="D302" s="13">
        <v>3500</v>
      </c>
      <c r="E302" s="13">
        <v>3500</v>
      </c>
      <c r="F302" s="13">
        <v>3500</v>
      </c>
      <c r="G302" s="13">
        <f>SUM(B302:F302)</f>
        <v>17500</v>
      </c>
      <c r="H302" s="198">
        <f t="shared" si="102"/>
        <v>2.0040801835021996E-2</v>
      </c>
    </row>
    <row r="303" spans="1:8">
      <c r="A303" s="10" t="s">
        <v>499</v>
      </c>
      <c r="B303" s="13">
        <v>6000</v>
      </c>
      <c r="C303" s="13">
        <v>6000</v>
      </c>
      <c r="D303" s="13">
        <v>6000</v>
      </c>
      <c r="E303" s="13">
        <v>6000</v>
      </c>
      <c r="F303" s="13">
        <v>6000</v>
      </c>
      <c r="G303" s="13">
        <f>SUM(B303:F303)</f>
        <v>30000</v>
      </c>
      <c r="H303" s="198">
        <f t="shared" si="102"/>
        <v>3.435566028860914E-2</v>
      </c>
    </row>
    <row r="304" spans="1:8">
      <c r="A304" s="10" t="s">
        <v>500</v>
      </c>
      <c r="B304" s="13">
        <f>$G$304/5</f>
        <v>16000</v>
      </c>
      <c r="C304" s="13">
        <f t="shared" ref="C304:F304" si="106">$G$304/5</f>
        <v>16000</v>
      </c>
      <c r="D304" s="13">
        <f t="shared" si="106"/>
        <v>16000</v>
      </c>
      <c r="E304" s="13">
        <f t="shared" si="106"/>
        <v>16000</v>
      </c>
      <c r="F304" s="13">
        <f t="shared" si="106"/>
        <v>16000</v>
      </c>
      <c r="G304" s="13">
        <v>80000</v>
      </c>
      <c r="H304" s="198">
        <f t="shared" si="102"/>
        <v>9.1615094102957706E-2</v>
      </c>
    </row>
    <row r="305" spans="1:8" ht="15">
      <c r="A305" s="9" t="s">
        <v>501</v>
      </c>
      <c r="B305" s="208">
        <f t="shared" ref="B305:G305" si="107">SUM(B297:B304)</f>
        <v>85578.649039499243</v>
      </c>
      <c r="C305" s="208">
        <f t="shared" si="107"/>
        <v>98451.408914310377</v>
      </c>
      <c r="D305" s="208">
        <f t="shared" si="107"/>
        <v>99333.122544787388</v>
      </c>
      <c r="E305" s="208">
        <f t="shared" si="107"/>
        <v>99333.122544787388</v>
      </c>
      <c r="F305" s="208">
        <f t="shared" si="107"/>
        <v>91412.573926181736</v>
      </c>
      <c r="G305" s="208">
        <f t="shared" si="107"/>
        <v>474108.87696956616</v>
      </c>
      <c r="H305" s="197">
        <f t="shared" si="102"/>
        <v>0.54294411723267999</v>
      </c>
    </row>
    <row r="306" spans="1:8">
      <c r="A306" s="10"/>
      <c r="B306" s="203"/>
      <c r="C306" s="203"/>
      <c r="D306" s="203"/>
      <c r="E306" s="203"/>
      <c r="F306" s="203"/>
      <c r="G306" s="203"/>
    </row>
    <row r="307" spans="1:8" ht="15">
      <c r="A307" s="9" t="s">
        <v>308</v>
      </c>
      <c r="B307" s="208">
        <f t="shared" ref="B307:G307" si="108">B295-B305</f>
        <v>3571.3954954187939</v>
      </c>
      <c r="C307" s="208">
        <f t="shared" si="108"/>
        <v>102748.25237080613</v>
      </c>
      <c r="D307" s="208">
        <f t="shared" si="108"/>
        <v>123780.9922816373</v>
      </c>
      <c r="E307" s="208">
        <f t="shared" si="108"/>
        <v>123780.9922816373</v>
      </c>
      <c r="F307" s="208">
        <f t="shared" si="108"/>
        <v>45228.044631948287</v>
      </c>
      <c r="G307" s="208">
        <f t="shared" si="108"/>
        <v>399109.67706144782</v>
      </c>
      <c r="H307" s="197">
        <f t="shared" ref="H307:H308" si="109">G307/$G$295</f>
        <v>0.45705588276732001</v>
      </c>
    </row>
    <row r="308" spans="1:8">
      <c r="A308" s="10" t="s">
        <v>502</v>
      </c>
      <c r="B308" s="202">
        <f>26%*B307</f>
        <v>928.56282880888648</v>
      </c>
      <c r="C308" s="202">
        <f t="shared" ref="C308:G308" si="110">26%*C307</f>
        <v>26714.545616409596</v>
      </c>
      <c r="D308" s="202">
        <f t="shared" si="110"/>
        <v>32183.057993225699</v>
      </c>
      <c r="E308" s="202">
        <f t="shared" si="110"/>
        <v>32183.057993225699</v>
      </c>
      <c r="F308" s="202">
        <f t="shared" si="110"/>
        <v>11759.291604306554</v>
      </c>
      <c r="G308" s="202">
        <f t="shared" si="110"/>
        <v>103768.51603597644</v>
      </c>
      <c r="H308" s="198">
        <f t="shared" si="109"/>
        <v>0.11883452951950321</v>
      </c>
    </row>
    <row r="309" spans="1:8" ht="15">
      <c r="A309" s="9" t="s">
        <v>137</v>
      </c>
      <c r="B309" s="208">
        <f>B307-B308</f>
        <v>2642.8326666099074</v>
      </c>
      <c r="C309" s="208">
        <f t="shared" ref="C309:G309" si="111">C307-C308</f>
        <v>76033.706754396539</v>
      </c>
      <c r="D309" s="208">
        <f t="shared" si="111"/>
        <v>91597.934288411605</v>
      </c>
      <c r="E309" s="208">
        <f t="shared" si="111"/>
        <v>91597.934288411605</v>
      </c>
      <c r="F309" s="208">
        <f t="shared" si="111"/>
        <v>33468.753027641731</v>
      </c>
      <c r="G309" s="208">
        <f t="shared" si="111"/>
        <v>295341.1610254714</v>
      </c>
      <c r="H309" s="197">
        <f>G309/$G$295</f>
        <v>0.33822135324781682</v>
      </c>
    </row>
  </sheetData>
  <sheetProtection password="A166" sheet="1" objects="1" scenarios="1" formatCells="0" formatColumns="0" formatRows="0" insertColumns="0" insertRows="0" insertHyperlinks="0" deleteColumns="0" delete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3.1.-3.8. Ak, myka ja myka-%</vt:lpstr>
      <vt:lpstr>3.9.-3.14. Varaston valvonta</vt:lpstr>
      <vt:lpstr>3.15.-3.16. Oper. tunnusluvut</vt:lpstr>
      <vt:lpstr>3.17.-3.24. Oper. tulossuun.</vt:lpstr>
      <vt:lpstr>3.25.-3.29. Työv.käytön suunn</vt:lpstr>
      <vt:lpstr>3.30.-3.31. Myynnin suunnittelu</vt:lpstr>
      <vt:lpstr>3.32.-3.39. Oper. budjetointi</vt:lpstr>
    </vt:vector>
  </TitlesOfParts>
  <Company>Haaga Yhtymä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Mariitta</cp:lastModifiedBy>
  <cp:lastPrinted>2010-10-25T12:22:26Z</cp:lastPrinted>
  <dcterms:created xsi:type="dcterms:W3CDTF">2006-01-13T14:36:50Z</dcterms:created>
  <dcterms:modified xsi:type="dcterms:W3CDTF">2012-05-21T11:58:41Z</dcterms:modified>
</cp:coreProperties>
</file>