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540"/>
  </bookViews>
  <sheets>
    <sheet name="4.1.-4.10. Hinnoittelu" sheetId="22" r:id="rId1"/>
    <sheet name="4.11.-4.14. Hintajousto" sheetId="21" r:id="rId2"/>
    <sheet name="4.15.-4.17. Optimointi ja RM" sheetId="28" r:id="rId3"/>
    <sheet name="4.18. Menuanalyysi" sheetId="1" r:id="rId4"/>
  </sheets>
  <calcPr calcId="145621"/>
</workbook>
</file>

<file path=xl/calcChain.xml><?xml version="1.0" encoding="utf-8"?>
<calcChain xmlns="http://schemas.openxmlformats.org/spreadsheetml/2006/main">
  <c r="E180" i="22" l="1"/>
  <c r="E181" i="22"/>
  <c r="E182" i="22"/>
  <c r="B65" i="22"/>
  <c r="B172" i="22" l="1"/>
  <c r="I110" i="28" l="1"/>
  <c r="H110" i="28"/>
  <c r="G110" i="28"/>
  <c r="E110" i="28"/>
  <c r="C110" i="28"/>
  <c r="B110" i="28"/>
  <c r="J109" i="28"/>
  <c r="D109" i="28"/>
  <c r="F109" i="28" s="1"/>
  <c r="J108" i="28"/>
  <c r="F108" i="28"/>
  <c r="D108" i="28"/>
  <c r="J107" i="28"/>
  <c r="F107" i="28"/>
  <c r="J106" i="28"/>
  <c r="F106" i="28"/>
  <c r="J105" i="28"/>
  <c r="D105" i="28"/>
  <c r="F105" i="28" s="1"/>
  <c r="J104" i="28"/>
  <c r="J110" i="28" s="1"/>
  <c r="D104" i="28"/>
  <c r="G87" i="28"/>
  <c r="F87" i="28"/>
  <c r="D87" i="28"/>
  <c r="B87" i="28"/>
  <c r="H86" i="28"/>
  <c r="C86" i="28"/>
  <c r="E86" i="28" s="1"/>
  <c r="H85" i="28"/>
  <c r="C85" i="28"/>
  <c r="E85" i="28" s="1"/>
  <c r="H84" i="28"/>
  <c r="C84" i="28"/>
  <c r="E84" i="28" s="1"/>
  <c r="H83" i="28"/>
  <c r="C83" i="28"/>
  <c r="E83" i="28" s="1"/>
  <c r="H82" i="28"/>
  <c r="C82" i="28"/>
  <c r="E82" i="28" s="1"/>
  <c r="H81" i="28"/>
  <c r="H87" i="28" s="1"/>
  <c r="C81" i="28"/>
  <c r="B75" i="28"/>
  <c r="C87" i="28" l="1"/>
  <c r="D110" i="28"/>
  <c r="D114" i="28" s="1"/>
  <c r="D116" i="28" s="1"/>
  <c r="B91" i="28"/>
  <c r="B93" i="28" s="1"/>
  <c r="D91" i="28"/>
  <c r="D93" i="28" s="1"/>
  <c r="G91" i="28"/>
  <c r="G93" i="28" s="1"/>
  <c r="F104" i="28"/>
  <c r="F110" i="28" s="1"/>
  <c r="B118" i="28" s="1"/>
  <c r="C114" i="28"/>
  <c r="C116" i="28" s="1"/>
  <c r="E114" i="28"/>
  <c r="E116" i="28" s="1"/>
  <c r="H114" i="28"/>
  <c r="H116" i="28" s="1"/>
  <c r="F91" i="28"/>
  <c r="F93" i="28" s="1"/>
  <c r="H93" i="28" s="1"/>
  <c r="B114" i="28"/>
  <c r="B116" i="28" s="1"/>
  <c r="G114" i="28"/>
  <c r="G116" i="28" s="1"/>
  <c r="I114" i="28"/>
  <c r="I116" i="28" s="1"/>
  <c r="C91" i="28"/>
  <c r="C93" i="28" s="1"/>
  <c r="J114" i="28"/>
  <c r="E81" i="28"/>
  <c r="E87" i="28" s="1"/>
  <c r="B95" i="28" s="1"/>
  <c r="B65" i="28"/>
  <c r="C59" i="28"/>
  <c r="B53" i="28"/>
  <c r="C47" i="28"/>
  <c r="C42" i="28"/>
  <c r="C41" i="28"/>
  <c r="B31" i="28"/>
  <c r="C49" i="28" s="1"/>
  <c r="H91" i="28" l="1"/>
  <c r="C48" i="28"/>
  <c r="B48" i="28" s="1"/>
  <c r="B54" i="28" s="1"/>
  <c r="J116" i="28"/>
  <c r="F116" i="28"/>
  <c r="E93" i="28"/>
  <c r="B97" i="28" s="1"/>
  <c r="B55" i="28"/>
  <c r="B41" i="28"/>
  <c r="C61" i="28"/>
  <c r="C60" i="28" s="1"/>
  <c r="B60" i="28" s="1"/>
  <c r="B66" i="28" s="1"/>
  <c r="B67" i="28" s="1"/>
  <c r="B42" i="28"/>
  <c r="E91" i="28"/>
  <c r="B96" i="28" s="1"/>
  <c r="F114" i="28"/>
  <c r="B119" i="28" s="1"/>
  <c r="D112" i="21"/>
  <c r="B112" i="21"/>
  <c r="B111" i="21"/>
  <c r="B113" i="21" s="1"/>
  <c r="D99" i="21"/>
  <c r="B99" i="21"/>
  <c r="C98" i="21" s="1"/>
  <c r="D104" i="21"/>
  <c r="D105" i="21" s="1"/>
  <c r="D106" i="21" s="1"/>
  <c r="D107" i="21" s="1"/>
  <c r="D111" i="21" s="1"/>
  <c r="D113" i="21" s="1"/>
  <c r="B120" i="28" l="1"/>
  <c r="C99" i="21"/>
  <c r="E99" i="21"/>
  <c r="C100" i="21"/>
  <c r="E100" i="21"/>
  <c r="E98" i="21"/>
  <c r="B101" i="21"/>
  <c r="C101" i="21" s="1"/>
  <c r="D101" i="21"/>
  <c r="E101" i="21" s="1"/>
  <c r="B85" i="21"/>
  <c r="B87" i="21" s="1"/>
  <c r="C87" i="21" s="1"/>
  <c r="C92" i="21" s="1"/>
  <c r="B79" i="21"/>
  <c r="B77" i="21"/>
  <c r="B73" i="21"/>
  <c r="B75" i="21" s="1"/>
  <c r="C75" i="21" s="1"/>
  <c r="B55" i="21"/>
  <c r="C54" i="21" s="1"/>
  <c r="B49" i="21"/>
  <c r="B47" i="21"/>
  <c r="B43" i="21"/>
  <c r="B48" i="21" s="1"/>
  <c r="B25" i="21"/>
  <c r="B31" i="21" s="1"/>
  <c r="B14" i="21"/>
  <c r="B20" i="21"/>
  <c r="B18" i="21"/>
  <c r="B19" i="21" s="1"/>
  <c r="B10" i="21"/>
  <c r="B8" i="21"/>
  <c r="C74" i="21" l="1"/>
  <c r="C72" i="21"/>
  <c r="B80" i="21"/>
  <c r="B78" i="21"/>
  <c r="C78" i="21" s="1"/>
  <c r="C85" i="21"/>
  <c r="C90" i="21" s="1"/>
  <c r="C73" i="21"/>
  <c r="C86" i="21"/>
  <c r="C91" i="21" s="1"/>
  <c r="C84" i="21"/>
  <c r="C89" i="21" s="1"/>
  <c r="C55" i="21"/>
  <c r="C56" i="21"/>
  <c r="C20" i="21"/>
  <c r="B9" i="21"/>
  <c r="B11" i="21" s="1"/>
  <c r="C11" i="21" s="1"/>
  <c r="B21" i="21"/>
  <c r="C21" i="21" s="1"/>
  <c r="C19" i="21"/>
  <c r="C18" i="21"/>
  <c r="B29" i="21"/>
  <c r="B183" i="22"/>
  <c r="E183" i="22" s="1"/>
  <c r="B171" i="22"/>
  <c r="B186" i="22" s="1"/>
  <c r="B164" i="22"/>
  <c r="B178" i="22" s="1"/>
  <c r="E178" i="22" s="1"/>
  <c r="B184" i="22" l="1"/>
  <c r="E186" i="22"/>
  <c r="B179" i="22"/>
  <c r="E179" i="22" s="1"/>
  <c r="C79" i="21"/>
  <c r="C80" i="21"/>
  <c r="B92" i="21"/>
  <c r="B90" i="21" s="1"/>
  <c r="B89" i="21" s="1"/>
  <c r="B94" i="21" s="1"/>
  <c r="C77" i="21"/>
  <c r="C9" i="21"/>
  <c r="C10" i="21"/>
  <c r="C8" i="21"/>
  <c r="B30" i="21"/>
  <c r="C29" i="21" s="1"/>
  <c r="B177" i="22"/>
  <c r="E177" i="22" s="1"/>
  <c r="E156" i="22"/>
  <c r="B149" i="22"/>
  <c r="D149" i="22" s="1"/>
  <c r="B145" i="22"/>
  <c r="D150" i="22"/>
  <c r="C148" i="22"/>
  <c r="D148" i="22" s="1"/>
  <c r="C147" i="22"/>
  <c r="B147" i="22"/>
  <c r="C146" i="22"/>
  <c r="B146" i="22"/>
  <c r="C145" i="22"/>
  <c r="D136" i="22"/>
  <c r="B136" i="22"/>
  <c r="F136" i="22" s="1"/>
  <c r="B126" i="22"/>
  <c r="B127" i="22" s="1"/>
  <c r="C118" i="22"/>
  <c r="B118" i="22" s="1"/>
  <c r="B119" i="22"/>
  <c r="B123" i="22" s="1"/>
  <c r="B100" i="22"/>
  <c r="B102" i="22" s="1"/>
  <c r="B104" i="22" s="1"/>
  <c r="B105" i="22" s="1"/>
  <c r="C93" i="22"/>
  <c r="B93" i="22"/>
  <c r="B50" i="22"/>
  <c r="E72" i="22" s="1"/>
  <c r="B185" i="22" l="1"/>
  <c r="E185" i="22" s="1"/>
  <c r="E184" i="22"/>
  <c r="B91" i="21"/>
  <c r="B32" i="21"/>
  <c r="C32" i="21" s="1"/>
  <c r="C30" i="21"/>
  <c r="C31" i="21"/>
  <c r="C178" i="22"/>
  <c r="C180" i="22"/>
  <c r="C182" i="22"/>
  <c r="C184" i="22"/>
  <c r="C186" i="22"/>
  <c r="B176" i="22"/>
  <c r="E176" i="22" s="1"/>
  <c r="C177" i="22"/>
  <c r="C181" i="22"/>
  <c r="C183" i="22"/>
  <c r="C179" i="22"/>
  <c r="D146" i="22"/>
  <c r="D147" i="22"/>
  <c r="D145" i="22"/>
  <c r="B129" i="22"/>
  <c r="B131" i="22" s="1"/>
  <c r="F137" i="22" s="1"/>
  <c r="F135" i="22" s="1"/>
  <c r="B128" i="22"/>
  <c r="C126" i="22"/>
  <c r="B106" i="22"/>
  <c r="B92" i="22"/>
  <c r="B91" i="22" s="1"/>
  <c r="B72" i="22"/>
  <c r="D72" i="22"/>
  <c r="C72" i="22"/>
  <c r="F75" i="22"/>
  <c r="F74" i="22"/>
  <c r="D56" i="22"/>
  <c r="B66" i="22" s="1"/>
  <c r="D55" i="22"/>
  <c r="C43" i="22"/>
  <c r="B39" i="22"/>
  <c r="B43" i="22" s="1"/>
  <c r="B29" i="22"/>
  <c r="B22" i="22"/>
  <c r="B12" i="22"/>
  <c r="B4" i="22"/>
  <c r="C3" i="22" s="1"/>
  <c r="C5" i="22"/>
  <c r="D151" i="22" l="1"/>
  <c r="D153" i="22" s="1"/>
  <c r="D156" i="22" s="1"/>
  <c r="D155" i="22" s="1"/>
  <c r="C185" i="22"/>
  <c r="C176" i="22"/>
  <c r="B188" i="22"/>
  <c r="D157" i="22"/>
  <c r="G135" i="22"/>
  <c r="G136" i="22"/>
  <c r="G137" i="22"/>
  <c r="B42" i="22"/>
  <c r="B41" i="22" s="1"/>
  <c r="C41" i="22" s="1"/>
  <c r="B67" i="22"/>
  <c r="F80" i="22" s="1"/>
  <c r="F78" i="22" s="1"/>
  <c r="B94" i="22"/>
  <c r="B96" i="22"/>
  <c r="B108" i="22" s="1"/>
  <c r="B5" i="22"/>
  <c r="B6" i="22" s="1"/>
  <c r="B33" i="22"/>
  <c r="B23" i="22"/>
  <c r="C21" i="22"/>
  <c r="B16" i="22"/>
  <c r="B15" i="22" s="1"/>
  <c r="B14" i="22" s="1"/>
  <c r="B57" i="21"/>
  <c r="C57" i="21" s="1"/>
  <c r="C62" i="21" s="1"/>
  <c r="C47" i="21"/>
  <c r="C48" i="21"/>
  <c r="B45" i="21"/>
  <c r="C7" i="28"/>
  <c r="B7" i="28"/>
  <c r="D16" i="1"/>
  <c r="C16" i="1"/>
  <c r="E6" i="1"/>
  <c r="E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F6" i="1"/>
  <c r="B17" i="1"/>
  <c r="B18" i="1" s="1"/>
  <c r="B16" i="1"/>
  <c r="B44" i="22" l="1"/>
  <c r="C22" i="28"/>
  <c r="C24" i="28"/>
  <c r="C12" i="28"/>
  <c r="C14" i="28"/>
  <c r="C23" i="28"/>
  <c r="C21" i="28"/>
  <c r="C13" i="28"/>
  <c r="C11" i="28"/>
  <c r="E22" i="28"/>
  <c r="E24" i="28"/>
  <c r="E23" i="28"/>
  <c r="E21" i="28"/>
  <c r="C45" i="21"/>
  <c r="B50" i="21"/>
  <c r="C43" i="21"/>
  <c r="G78" i="22"/>
  <c r="F79" i="22"/>
  <c r="G79" i="22" s="1"/>
  <c r="B78" i="22"/>
  <c r="B77" i="22" s="1"/>
  <c r="B82" i="22" s="1"/>
  <c r="E78" i="22"/>
  <c r="C137" i="22"/>
  <c r="C136" i="22" s="1"/>
  <c r="B135" i="22" s="1"/>
  <c r="E137" i="22"/>
  <c r="E136" i="22" s="1"/>
  <c r="D135" i="22" s="1"/>
  <c r="F77" i="22"/>
  <c r="D78" i="22"/>
  <c r="D77" i="22" s="1"/>
  <c r="D82" i="22" s="1"/>
  <c r="C78" i="22"/>
  <c r="C77" i="22" s="1"/>
  <c r="C82" i="22" s="1"/>
  <c r="G80" i="22"/>
  <c r="B80" i="22"/>
  <c r="B79" i="22" s="1"/>
  <c r="E80" i="22"/>
  <c r="E79" i="22" s="1"/>
  <c r="E77" i="22"/>
  <c r="E82" i="22" s="1"/>
  <c r="D80" i="22"/>
  <c r="D79" i="22" s="1"/>
  <c r="C44" i="21"/>
  <c r="C42" i="21"/>
  <c r="B24" i="22"/>
  <c r="C22" i="22"/>
  <c r="C14" i="22"/>
  <c r="B17" i="22"/>
  <c r="C15" i="22"/>
  <c r="C49" i="21"/>
  <c r="B32" i="22"/>
  <c r="B31" i="22" s="1"/>
  <c r="E16" i="1"/>
  <c r="F7" i="1"/>
  <c r="C80" i="22" l="1"/>
  <c r="C79" i="22" s="1"/>
  <c r="E25" i="28"/>
  <c r="C25" i="28"/>
  <c r="C15" i="28"/>
  <c r="D137" i="22"/>
  <c r="D134" i="22"/>
  <c r="B134" i="22"/>
  <c r="B137" i="22"/>
  <c r="C31" i="22"/>
  <c r="C32" i="22"/>
  <c r="C34" i="22"/>
  <c r="C50" i="21"/>
  <c r="B62" i="21"/>
  <c r="B60" i="21" s="1"/>
  <c r="F17" i="1"/>
  <c r="F16" i="1"/>
  <c r="C33" i="22"/>
  <c r="F25" i="28" l="1"/>
  <c r="B61" i="21"/>
  <c r="C61" i="21" s="1"/>
  <c r="C60" i="21"/>
  <c r="B59" i="21"/>
  <c r="D139" i="22"/>
  <c r="E134" i="22"/>
  <c r="B139" i="22"/>
  <c r="F134" i="22"/>
  <c r="C134" i="22"/>
  <c r="C59" i="21" l="1"/>
  <c r="B64" i="21"/>
  <c r="B65" i="21" s="1"/>
  <c r="B66" i="21" s="1"/>
  <c r="F139" i="22"/>
  <c r="G134" i="22"/>
</calcChain>
</file>

<file path=xl/sharedStrings.xml><?xml version="1.0" encoding="utf-8"?>
<sst xmlns="http://schemas.openxmlformats.org/spreadsheetml/2006/main" count="390" uniqueCount="244">
  <si>
    <t>Tuote</t>
  </si>
  <si>
    <t>Myynti/ kpl</t>
  </si>
  <si>
    <t>Ainekäyttö</t>
  </si>
  <si>
    <t>Valkosipulipihvi</t>
  </si>
  <si>
    <t>Pippuripihvi</t>
  </si>
  <si>
    <t>Myka yht.</t>
  </si>
  <si>
    <t>Yht.</t>
  </si>
  <si>
    <t>Kasavana&amp;</t>
  </si>
  <si>
    <t>Smith</t>
  </si>
  <si>
    <t>Työhevonen</t>
  </si>
  <si>
    <t>Koira</t>
  </si>
  <si>
    <t>Tähti</t>
  </si>
  <si>
    <t>Liikevaihto</t>
  </si>
  <si>
    <t>Myyntikate</t>
  </si>
  <si>
    <t>Poistot</t>
  </si>
  <si>
    <t>%</t>
  </si>
  <si>
    <t>Liva</t>
  </si>
  <si>
    <t>Myka</t>
  </si>
  <si>
    <t>yht.</t>
  </si>
  <si>
    <t>Yhteensä</t>
  </si>
  <si>
    <t>Myynti</t>
  </si>
  <si>
    <t>€</t>
  </si>
  <si>
    <t>Työvoimakulut</t>
  </si>
  <si>
    <t>Tilinpäätösillallinen</t>
  </si>
  <si>
    <t>henkilöä</t>
  </si>
  <si>
    <t>yks.hinta</t>
  </si>
  <si>
    <t>Kelkat asiakkaat</t>
  </si>
  <si>
    <t>Kelkat oppaat</t>
  </si>
  <si>
    <t>Ruok. tarv. ym asiakkaat</t>
  </si>
  <si>
    <t>Oppaiden palkkio</t>
  </si>
  <si>
    <t>Hallinnointi</t>
  </si>
  <si>
    <t>Kust.</t>
  </si>
  <si>
    <t>Raaka-aineet al-verollinen</t>
  </si>
  <si>
    <t>Raaka-aineet al-veroton</t>
  </si>
  <si>
    <t>Myyntihinta, al-verollinen</t>
  </si>
  <si>
    <t>Myyntihinta, al-veroton (liva)</t>
  </si>
  <si>
    <t>Raaka-aineet al- veroton</t>
  </si>
  <si>
    <t>Ravintola B</t>
  </si>
  <si>
    <t>Ainekäyttö (al-veroton)</t>
  </si>
  <si>
    <t>Myyntikate / tuoppi</t>
  </si>
  <si>
    <t>Asiakkaita / vrk</t>
  </si>
  <si>
    <t>Aukiolo vrk/kk</t>
  </si>
  <si>
    <t>Katetaan pankkilainalla</t>
  </si>
  <si>
    <t>Katetaan omalla pääomalla</t>
  </si>
  <si>
    <t>Tuottovaatimus / vuosi</t>
  </si>
  <si>
    <t>Pääomasijoitus €, josta</t>
  </si>
  <si>
    <t>Yrittäjien työvoimakulu</t>
  </si>
  <si>
    <t>Työvoimakulut ulkopuoliset</t>
  </si>
  <si>
    <t>Liikehuoneiston vuokra</t>
  </si>
  <si>
    <t>Hall, markk, muut operat.</t>
  </si>
  <si>
    <t>Lainan korko</t>
  </si>
  <si>
    <t xml:space="preserve">Tulostavote / kk </t>
  </si>
  <si>
    <t>Myyntikatetavoite / kk</t>
  </si>
  <si>
    <t>Tuloslaskelmasuunnitelma</t>
  </si>
  <si>
    <t>Alkuruoka</t>
  </si>
  <si>
    <t>Pääruoka</t>
  </si>
  <si>
    <t>Jälkiruoka</t>
  </si>
  <si>
    <t>Juomat</t>
  </si>
  <si>
    <t>Myka-%</t>
  </si>
  <si>
    <t>Kpl / kk</t>
  </si>
  <si>
    <t>Hinta al-veroton</t>
  </si>
  <si>
    <t>Ennen</t>
  </si>
  <si>
    <t>Jälkeen</t>
  </si>
  <si>
    <t>Myynti kpl / vrk</t>
  </si>
  <si>
    <t>Hintajousto</t>
  </si>
  <si>
    <t>Alennus-%</t>
  </si>
  <si>
    <t>Alennus €</t>
  </si>
  <si>
    <t>Lisäys-% myynnissä</t>
  </si>
  <si>
    <t>Asiakasmäärä</t>
  </si>
  <si>
    <t>Työvoimakulu / h</t>
  </si>
  <si>
    <t>Erillislaskutuksena:</t>
  </si>
  <si>
    <t>Koristelu</t>
  </si>
  <si>
    <t>Yht. veroton</t>
  </si>
  <si>
    <t>Työvoimakulu 25 tunnille</t>
  </si>
  <si>
    <t>Kokonaistuloslaskelma:</t>
  </si>
  <si>
    <t>Kokonaismyyntihinta / hlö yht.</t>
  </si>
  <si>
    <t>tiistai</t>
  </si>
  <si>
    <t>keskiviikko</t>
  </si>
  <si>
    <t>torstai</t>
  </si>
  <si>
    <t>perjantai</t>
  </si>
  <si>
    <t>Asiakaspaikat</t>
  </si>
  <si>
    <t>Asp-kierto tav.</t>
  </si>
  <si>
    <t>As.määrä</t>
  </si>
  <si>
    <t>Ilman messuvieraita</t>
  </si>
  <si>
    <t>Lounas</t>
  </si>
  <si>
    <t>Päivällinen</t>
  </si>
  <si>
    <t>Liikeas.</t>
  </si>
  <si>
    <t>Turistit</t>
  </si>
  <si>
    <t>Paikall.</t>
  </si>
  <si>
    <t>Maanantai</t>
  </si>
  <si>
    <t>Tiistai</t>
  </si>
  <si>
    <t>Keskiviikko</t>
  </si>
  <si>
    <t>Torstai</t>
  </si>
  <si>
    <t>Perjantai</t>
  </si>
  <si>
    <t>Lauantai</t>
  </si>
  <si>
    <t>Asiakkaat yht.</t>
  </si>
  <si>
    <t>Liva yht.</t>
  </si>
  <si>
    <t>Messuvieraiden kanssa</t>
  </si>
  <si>
    <t>Messuv.</t>
  </si>
  <si>
    <t>Messuvieraita ei kannatta ottaa ko. hinnoilla vastaan.</t>
  </si>
  <si>
    <t>Kyseinen ryhmä kannata ottaa.</t>
  </si>
  <si>
    <t>4.1.</t>
  </si>
  <si>
    <t>4.2.</t>
  </si>
  <si>
    <t>4.3.</t>
  </si>
  <si>
    <t>4.4.</t>
  </si>
  <si>
    <t>4.5.</t>
  </si>
  <si>
    <t>Ostohinta al-verollinen</t>
  </si>
  <si>
    <t>Ostohinta al- veroton</t>
  </si>
  <si>
    <t>4.6.</t>
  </si>
  <si>
    <t>Kiinteät kulut ja tulostavoite kuukaudessa = myyntikatetavoite kuukaudessa</t>
  </si>
  <si>
    <t>Asiakkaita / kk</t>
  </si>
  <si>
    <t>Myyntikate-%</t>
  </si>
  <si>
    <t>Osuus liikevaihdosta</t>
  </si>
  <si>
    <t>Keskimääräinen hinta / tuote</t>
  </si>
  <si>
    <t>4.7.</t>
  </si>
  <si>
    <t>Raaka-aine / hlö al-veroton</t>
  </si>
  <si>
    <t>Myynti al-verollinen</t>
  </si>
  <si>
    <t>Al-verollinen hinta / hlö</t>
  </si>
  <si>
    <t>Yht. al-verollinen (alv 13%)</t>
  </si>
  <si>
    <t>4.8.</t>
  </si>
  <si>
    <t>Keskimääräinen viikonloppuilta:</t>
  </si>
  <si>
    <t>Kustannus taikuri</t>
  </si>
  <si>
    <t>Myyntikatetavoite tilaisuudelle</t>
  </si>
  <si>
    <t>Alkoholin lisämyynnistä tuleva myyntikate</t>
  </si>
  <si>
    <t>Katetta tultava illaliskorteista</t>
  </si>
  <si>
    <t>Ruoka</t>
  </si>
  <si>
    <t>Alkoholi</t>
  </si>
  <si>
    <t>Al-verollinen hinta / asiakas</t>
  </si>
  <si>
    <t>4.9.</t>
  </si>
  <si>
    <t>vrk/hlöä</t>
  </si>
  <si>
    <t>Moottorikelkkasafarin kustannukset</t>
  </si>
  <si>
    <t>Ruok. tarv. ym. oppaat</t>
  </si>
  <si>
    <t>Kustannus /asiakas</t>
  </si>
  <si>
    <t>Al-veroton hinta / asiakas</t>
  </si>
  <si>
    <t>4.10.</t>
  </si>
  <si>
    <t>Yht. muu al-verollinen / hlö</t>
  </si>
  <si>
    <t>Huoneita</t>
  </si>
  <si>
    <t>Myyntipäiviä</t>
  </si>
  <si>
    <t>Huonekäyttöaste</t>
  </si>
  <si>
    <t>Myytyjä huoneita</t>
  </si>
  <si>
    <t>Investoinnin rahoitus</t>
  </si>
  <si>
    <t>Oma pääoma</t>
  </si>
  <si>
    <t>Pankkilaina</t>
  </si>
  <si>
    <t>Vuosittainen tuottovaatimus rahoitukselle</t>
  </si>
  <si>
    <t>Majoitusmyynti</t>
  </si>
  <si>
    <t>Majoitusliikevaihto</t>
  </si>
  <si>
    <t>Muuttuvat huonemyynnin kulut</t>
  </si>
  <si>
    <t>Katetuotto</t>
  </si>
  <si>
    <t>Kiinteistö, hall., markk., ym</t>
  </si>
  <si>
    <t>Tulossunnitelma:</t>
  </si>
  <si>
    <t>Korot</t>
  </si>
  <si>
    <t>Tulos ennen veroja</t>
  </si>
  <si>
    <t>Tuloverot</t>
  </si>
  <si>
    <t>Tulos</t>
  </si>
  <si>
    <t>Keskihuonehinta</t>
  </si>
  <si>
    <t>4.11.</t>
  </si>
  <si>
    <t>Lounaita kpl</t>
  </si>
  <si>
    <t>Al-verollinen hinta</t>
  </si>
  <si>
    <t>Al-veroton raaka-aine</t>
  </si>
  <si>
    <t>Nykyinen myynti:</t>
  </si>
  <si>
    <t>a)</t>
  </si>
  <si>
    <t>Ei kannata</t>
  </si>
  <si>
    <t>b)</t>
  </si>
  <si>
    <t>Kannattaa</t>
  </si>
  <si>
    <t>4.12.</t>
  </si>
  <si>
    <t>Hinta al-verollinen</t>
  </si>
  <si>
    <t>Myynti kappaletta</t>
  </si>
  <si>
    <t>Myynti kappaleita</t>
  </si>
  <si>
    <t>Ero B ravintolaan kappaleina</t>
  </si>
  <si>
    <t>Ero B ravintolaan prosentteina</t>
  </si>
  <si>
    <t>Ravintola A (saatava sama euromääräinen myyntikate)</t>
  </si>
  <si>
    <t>4.13.</t>
  </si>
  <si>
    <t>Myynti kappaletta viikossa</t>
  </si>
  <si>
    <t>Alennetulla hinnalla tulee saada vähintään sama myyntikate</t>
  </si>
  <si>
    <t>Nyt myynti kappaletta viikossa</t>
  </si>
  <si>
    <t>4.14.</t>
  </si>
  <si>
    <t>Ainekäyttö al-veroton</t>
  </si>
  <si>
    <t>Myyntikatekelmat kyseisillä myyntimäärillä:</t>
  </si>
  <si>
    <t>Alennus kasvattaa hieman myyntikatetta, joten toimenpide olisi kannattava.</t>
  </si>
  <si>
    <t>4.15.</t>
  </si>
  <si>
    <t>Muut</t>
  </si>
  <si>
    <t>Kaamosmatkat</t>
  </si>
  <si>
    <t>Al-veroton hinta</t>
  </si>
  <si>
    <t>Asiakaskustannukset</t>
  </si>
  <si>
    <t>Katetuotto / myyty huone</t>
  </si>
  <si>
    <t>Katetuotto yht.</t>
  </si>
  <si>
    <t>Saatava katetuotto tiistai-perjantaiilman Kaamosmatkojen ryhmää</t>
  </si>
  <si>
    <t>Muut huoneita</t>
  </si>
  <si>
    <t>Kaamosmatkat huoneita</t>
  </si>
  <si>
    <t>4.16.</t>
  </si>
  <si>
    <t>Mikäli Kaamosmatkojen varaus otetaan,</t>
  </si>
  <si>
    <t>huomioitava että muita paremman huonehinnan tuovia matkailijoita ei voida ottaa kaikkia.</t>
  </si>
  <si>
    <t>minuuttia</t>
  </si>
  <si>
    <t>Asiakaspaikkojen mukainen palveluaika min</t>
  </si>
  <si>
    <t>Syöntiaika pihvilounas min</t>
  </si>
  <si>
    <t>Syöntiaika hampurilaislounas min</t>
  </si>
  <si>
    <t>Keittiö kapasiteetti pihvilounasta kpl/tunti</t>
  </si>
  <si>
    <t>Keittiö kapasiteetti hampurilaislounasta kpl/tunti</t>
  </si>
  <si>
    <t>Molemmat yhtäaikaisesti</t>
  </si>
  <si>
    <t>Syöntiaika</t>
  </si>
  <si>
    <t>Keittiökapasiteetti</t>
  </si>
  <si>
    <t>Ravintolapäällikkö:</t>
  </si>
  <si>
    <t>Maksimikapasiteetti pihvilounaita (keittiörajoite)</t>
  </si>
  <si>
    <t>kpl</t>
  </si>
  <si>
    <t>Loput hampurilaislounaita (palveluaikaa jäljellä)</t>
  </si>
  <si>
    <t>Pihvilounaat</t>
  </si>
  <si>
    <t>Hampurilaislounaat</t>
  </si>
  <si>
    <t>Myyntikate:</t>
  </si>
  <si>
    <t>Myyntikate yhteensä</t>
  </si>
  <si>
    <t>Vuoropäällikkö:</t>
  </si>
  <si>
    <t>Maksimi pihvilounaita lounasaikaan kpl</t>
  </si>
  <si>
    <t>Maksimi hampurilaisia lounasaikaan kpl</t>
  </si>
  <si>
    <t>Keittiökapasiteetti tulee rajoittavaksi, mikäli syödään pelkästään toista tuotetta</t>
  </si>
  <si>
    <t>Maksimikapasiteeti hampurilaisia (keittiörajoite)</t>
  </si>
  <si>
    <t>Yhteensä palveluaikaa käytettävissä</t>
  </si>
  <si>
    <t>Vuoropäällikön ehdotus tuo enemmän myyntikatetta</t>
  </si>
  <si>
    <t>Rajoitukset</t>
  </si>
  <si>
    <t>Loput pihvilounaita (palveluaikaa jäljellä)</t>
  </si>
  <si>
    <t>Keittiökapasiteetti riittää molemmille tuotteille</t>
  </si>
  <si>
    <t>4.17.</t>
  </si>
  <si>
    <t>Illallinen</t>
  </si>
  <si>
    <t>Keskiostos al-veroton €</t>
  </si>
  <si>
    <t>Al-veroton keskiostos</t>
  </si>
  <si>
    <t>Liikevaihto yht.</t>
  </si>
  <si>
    <t>Myyntikate yht.</t>
  </si>
  <si>
    <t>4.18.</t>
  </si>
  <si>
    <t>Menuanalyysi</t>
  </si>
  <si>
    <t xml:space="preserve">Liva </t>
  </si>
  <si>
    <t>Myka/ annos</t>
  </si>
  <si>
    <t>Torero-pihvi</t>
  </si>
  <si>
    <t>Keskiarvo</t>
  </si>
  <si>
    <t>Keskiarvo * 0,7</t>
  </si>
  <si>
    <t>BBQ-broileri</t>
  </si>
  <si>
    <t>Calamity Janen broileri</t>
  </si>
  <si>
    <t>Piccolo-pihvi</t>
  </si>
  <si>
    <t>Teksasin porsas</t>
  </si>
  <si>
    <t>Lampaan selykset</t>
  </si>
  <si>
    <t>Sheriffin härkä</t>
  </si>
  <si>
    <t>Kullankaivajan kuha</t>
  </si>
  <si>
    <t>Luokitus</t>
  </si>
  <si>
    <t>Mitä näin saatu keskihuonehinta kertoo projektin taloudellisesta menestysmahdollisuudesta?</t>
  </si>
  <si>
    <t>Kuukausi</t>
  </si>
  <si>
    <t>Myynti (sis. alv 13%/23%)</t>
  </si>
  <si>
    <t>Liikevaihto (huom! Kirjassa tämä virheellisesti verollinen, mutta käsittele verottomana, koska ei tiedetä myynnin jakaumaa)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</si>
</sst>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0.0\ %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1"/>
      <color indexed="17"/>
      <name val="Arial"/>
      <family val="2"/>
    </font>
    <font>
      <b/>
      <sz val="11"/>
      <color indexed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  <xf numFmtId="9" fontId="3" fillId="0" borderId="0" xfId="0" applyNumberFormat="1" applyFont="1"/>
    <xf numFmtId="165" fontId="3" fillId="0" borderId="0" xfId="1" applyNumberFormat="1" applyFont="1"/>
    <xf numFmtId="164" fontId="3" fillId="0" borderId="0" xfId="0" applyNumberFormat="1" applyFont="1"/>
    <xf numFmtId="9" fontId="3" fillId="0" borderId="0" xfId="0" applyNumberFormat="1" applyFont="1" applyAlignment="1">
      <alignment horizontal="center"/>
    </xf>
    <xf numFmtId="9" fontId="3" fillId="0" borderId="0" xfId="1" applyFont="1" applyAlignment="1">
      <alignment horizontal="center"/>
    </xf>
    <xf numFmtId="9" fontId="3" fillId="0" borderId="0" xfId="1" applyNumberFormat="1" applyFont="1" applyAlignment="1">
      <alignment horizontal="center"/>
    </xf>
    <xf numFmtId="0" fontId="5" fillId="0" borderId="0" xfId="0" applyFont="1"/>
    <xf numFmtId="1" fontId="3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9" fontId="2" fillId="0" borderId="0" xfId="0" applyNumberFormat="1" applyFont="1" applyAlignment="1">
      <alignment horizontal="center"/>
    </xf>
    <xf numFmtId="2" fontId="2" fillId="0" borderId="0" xfId="0" applyNumberFormat="1" applyFont="1"/>
    <xf numFmtId="9" fontId="3" fillId="0" borderId="0" xfId="1" applyFont="1"/>
    <xf numFmtId="9" fontId="4" fillId="0" borderId="0" xfId="1" applyFont="1"/>
    <xf numFmtId="9" fontId="4" fillId="0" borderId="0" xfId="0" applyNumberFormat="1" applyFont="1" applyBorder="1"/>
    <xf numFmtId="165" fontId="3" fillId="0" borderId="0" xfId="0" applyNumberFormat="1" applyFont="1"/>
    <xf numFmtId="9" fontId="4" fillId="0" borderId="0" xfId="0" applyNumberFormat="1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2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7" fillId="0" borderId="2" xfId="0" applyNumberFormat="1" applyFont="1" applyBorder="1"/>
    <xf numFmtId="2" fontId="3" fillId="0" borderId="3" xfId="0" applyNumberFormat="1" applyFont="1" applyBorder="1"/>
    <xf numFmtId="164" fontId="2" fillId="0" borderId="3" xfId="0" applyNumberFormat="1" applyFont="1" applyBorder="1"/>
    <xf numFmtId="0" fontId="3" fillId="0" borderId="2" xfId="0" applyFont="1" applyBorder="1"/>
    <xf numFmtId="44" fontId="3" fillId="0" borderId="0" xfId="2" applyFont="1"/>
    <xf numFmtId="0" fontId="3" fillId="0" borderId="0" xfId="0" applyFont="1" applyAlignment="1">
      <alignment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topLeftCell="A178" workbookViewId="0">
      <selection activeCell="B172" sqref="B172"/>
    </sheetView>
  </sheetViews>
  <sheetFormatPr defaultRowHeight="14.25" x14ac:dyDescent="0.2"/>
  <cols>
    <col min="1" max="1" width="31.5703125" style="2" customWidth="1"/>
    <col min="2" max="4" width="11.7109375" style="2" customWidth="1"/>
    <col min="5" max="5" width="15.7109375" style="2" customWidth="1"/>
    <col min="6" max="7" width="11.7109375" style="2" customWidth="1"/>
    <col min="8" max="16384" width="9.140625" style="2"/>
  </cols>
  <sheetData>
    <row r="1" spans="1:3" ht="15" x14ac:dyDescent="0.25">
      <c r="A1" s="1" t="s">
        <v>101</v>
      </c>
    </row>
    <row r="2" spans="1:3" x14ac:dyDescent="0.2">
      <c r="C2" s="3"/>
    </row>
    <row r="3" spans="1:3" x14ac:dyDescent="0.2">
      <c r="A3" s="2" t="s">
        <v>34</v>
      </c>
      <c r="B3" s="4">
        <v>24</v>
      </c>
      <c r="C3" s="11">
        <f>B3/B4</f>
        <v>1.1299999999999999</v>
      </c>
    </row>
    <row r="4" spans="1:3" x14ac:dyDescent="0.2">
      <c r="A4" s="2" t="s">
        <v>35</v>
      </c>
      <c r="B4" s="4">
        <f>B3/1.13</f>
        <v>21.238938053097346</v>
      </c>
      <c r="C4" s="9">
        <v>1</v>
      </c>
    </row>
    <row r="5" spans="1:3" x14ac:dyDescent="0.2">
      <c r="A5" s="2" t="s">
        <v>33</v>
      </c>
      <c r="B5" s="5">
        <f>C5*B4</f>
        <v>5.7345132743362841</v>
      </c>
      <c r="C5" s="9">
        <f>C4-C6</f>
        <v>0.27</v>
      </c>
    </row>
    <row r="6" spans="1:3" x14ac:dyDescent="0.2">
      <c r="A6" s="2" t="s">
        <v>13</v>
      </c>
      <c r="B6" s="4">
        <f>B4-B5</f>
        <v>15.504424778761063</v>
      </c>
      <c r="C6" s="9">
        <v>0.73</v>
      </c>
    </row>
    <row r="9" spans="1:3" ht="15" x14ac:dyDescent="0.25">
      <c r="A9" s="1" t="s">
        <v>102</v>
      </c>
    </row>
    <row r="10" spans="1:3" x14ac:dyDescent="0.2">
      <c r="B10" s="3"/>
    </row>
    <row r="11" spans="1:3" x14ac:dyDescent="0.2">
      <c r="A11" s="2" t="s">
        <v>32</v>
      </c>
      <c r="B11" s="4">
        <v>5.7</v>
      </c>
    </row>
    <row r="12" spans="1:3" x14ac:dyDescent="0.2">
      <c r="A12" s="2" t="s">
        <v>33</v>
      </c>
      <c r="B12" s="4">
        <f>B11/1.13</f>
        <v>5.0442477876106198</v>
      </c>
    </row>
    <row r="13" spans="1:3" x14ac:dyDescent="0.2">
      <c r="C13" s="3"/>
    </row>
    <row r="14" spans="1:3" x14ac:dyDescent="0.2">
      <c r="A14" s="2" t="s">
        <v>34</v>
      </c>
      <c r="B14" s="4">
        <f>B15*1.13</f>
        <v>17.8125</v>
      </c>
      <c r="C14" s="10">
        <f>B14/$B$15</f>
        <v>1.1299999999999999</v>
      </c>
    </row>
    <row r="15" spans="1:3" x14ac:dyDescent="0.2">
      <c r="A15" s="2" t="s">
        <v>35</v>
      </c>
      <c r="B15" s="4">
        <f>B16/C16</f>
        <v>15.763274336283187</v>
      </c>
      <c r="C15" s="10">
        <f>B15/$B$15</f>
        <v>1</v>
      </c>
    </row>
    <row r="16" spans="1:3" x14ac:dyDescent="0.2">
      <c r="A16" s="2" t="s">
        <v>33</v>
      </c>
      <c r="B16" s="5">
        <f>B12</f>
        <v>5.0442477876106198</v>
      </c>
      <c r="C16" s="9">
        <v>0.32</v>
      </c>
    </row>
    <row r="17" spans="1:3" x14ac:dyDescent="0.2">
      <c r="A17" s="2" t="s">
        <v>13</v>
      </c>
      <c r="B17" s="4">
        <f>B15-B16</f>
        <v>10.719026548672566</v>
      </c>
      <c r="C17" s="9">
        <v>0.68</v>
      </c>
    </row>
    <row r="18" spans="1:3" x14ac:dyDescent="0.2">
      <c r="C18" s="6"/>
    </row>
    <row r="19" spans="1:3" ht="15" x14ac:dyDescent="0.25">
      <c r="A19" s="1" t="s">
        <v>103</v>
      </c>
    </row>
    <row r="21" spans="1:3" x14ac:dyDescent="0.2">
      <c r="A21" s="2" t="s">
        <v>34</v>
      </c>
      <c r="B21" s="4">
        <v>9</v>
      </c>
      <c r="C21" s="10">
        <f>B21/$B$22</f>
        <v>1.1299999999999999</v>
      </c>
    </row>
    <row r="22" spans="1:3" x14ac:dyDescent="0.2">
      <c r="A22" s="2" t="s">
        <v>35</v>
      </c>
      <c r="B22" s="4">
        <f>B21/1.13</f>
        <v>7.9646017699115053</v>
      </c>
      <c r="C22" s="10">
        <f>B22/$B$22</f>
        <v>1</v>
      </c>
    </row>
    <row r="23" spans="1:3" x14ac:dyDescent="0.2">
      <c r="A23" s="2" t="s">
        <v>33</v>
      </c>
      <c r="B23" s="5">
        <f>C23*B22</f>
        <v>3.1858407079646023</v>
      </c>
      <c r="C23" s="9">
        <v>0.4</v>
      </c>
    </row>
    <row r="24" spans="1:3" x14ac:dyDescent="0.2">
      <c r="A24" s="2" t="s">
        <v>13</v>
      </c>
      <c r="B24" s="4">
        <f>C24*B22</f>
        <v>4.778761061946903</v>
      </c>
      <c r="C24" s="9">
        <v>0.6</v>
      </c>
    </row>
    <row r="26" spans="1:3" ht="15" x14ac:dyDescent="0.25">
      <c r="A26" s="1" t="s">
        <v>104</v>
      </c>
    </row>
    <row r="28" spans="1:3" x14ac:dyDescent="0.2">
      <c r="A28" s="2" t="s">
        <v>32</v>
      </c>
      <c r="B28" s="4">
        <v>7.9</v>
      </c>
    </row>
    <row r="29" spans="1:3" x14ac:dyDescent="0.2">
      <c r="A29" s="2" t="s">
        <v>36</v>
      </c>
      <c r="B29" s="4">
        <f>B28/1.13</f>
        <v>6.9911504424778768</v>
      </c>
    </row>
    <row r="31" spans="1:3" x14ac:dyDescent="0.2">
      <c r="A31" s="2" t="s">
        <v>34</v>
      </c>
      <c r="B31" s="4">
        <f>B32*1.13</f>
        <v>19.765000000000001</v>
      </c>
      <c r="C31" s="11">
        <f>B31/$B$32</f>
        <v>1.1299999999999999</v>
      </c>
    </row>
    <row r="32" spans="1:3" x14ac:dyDescent="0.2">
      <c r="A32" s="2" t="s">
        <v>35</v>
      </c>
      <c r="B32" s="4">
        <f>B33+B34</f>
        <v>17.491150442477878</v>
      </c>
      <c r="C32" s="11">
        <f>B32/$B$32</f>
        <v>1</v>
      </c>
    </row>
    <row r="33" spans="1:3" x14ac:dyDescent="0.2">
      <c r="A33" s="2" t="s">
        <v>33</v>
      </c>
      <c r="B33" s="5">
        <f>B29</f>
        <v>6.9911504424778768</v>
      </c>
      <c r="C33" s="11">
        <f>B33/$B$32</f>
        <v>0.39969643308879332</v>
      </c>
    </row>
    <row r="34" spans="1:3" x14ac:dyDescent="0.2">
      <c r="A34" s="2" t="s">
        <v>13</v>
      </c>
      <c r="B34" s="4">
        <v>10.5</v>
      </c>
      <c r="C34" s="11">
        <f>B34/$B$32</f>
        <v>0.60030356691120668</v>
      </c>
    </row>
    <row r="36" spans="1:3" ht="15" x14ac:dyDescent="0.25">
      <c r="A36" s="1" t="s">
        <v>105</v>
      </c>
    </row>
    <row r="38" spans="1:3" x14ac:dyDescent="0.2">
      <c r="A38" s="2" t="s">
        <v>106</v>
      </c>
      <c r="B38" s="4">
        <v>8.5</v>
      </c>
    </row>
    <row r="39" spans="1:3" x14ac:dyDescent="0.2">
      <c r="A39" s="2" t="s">
        <v>107</v>
      </c>
      <c r="B39" s="4">
        <f>B38/1.23</f>
        <v>6.9105691056910574</v>
      </c>
    </row>
    <row r="41" spans="1:3" x14ac:dyDescent="0.2">
      <c r="A41" s="2" t="s">
        <v>34</v>
      </c>
      <c r="B41" s="4">
        <f>B42*1.23</f>
        <v>34</v>
      </c>
      <c r="C41" s="7">
        <f>B41/B42</f>
        <v>1.23</v>
      </c>
    </row>
    <row r="42" spans="1:3" x14ac:dyDescent="0.2">
      <c r="A42" s="2" t="s">
        <v>35</v>
      </c>
      <c r="B42" s="4">
        <f>B43/C43</f>
        <v>27.64227642276423</v>
      </c>
      <c r="C42" s="7">
        <v>1</v>
      </c>
    </row>
    <row r="43" spans="1:3" x14ac:dyDescent="0.2">
      <c r="A43" s="2" t="s">
        <v>33</v>
      </c>
      <c r="B43" s="5">
        <f>B39</f>
        <v>6.9105691056910574</v>
      </c>
      <c r="C43" s="7">
        <f>C42-C44</f>
        <v>0.25</v>
      </c>
    </row>
    <row r="44" spans="1:3" x14ac:dyDescent="0.2">
      <c r="A44" s="2" t="s">
        <v>13</v>
      </c>
      <c r="B44" s="4">
        <f>B42-B43</f>
        <v>20.731707317073173</v>
      </c>
      <c r="C44" s="7">
        <v>0.75</v>
      </c>
    </row>
    <row r="46" spans="1:3" ht="15" x14ac:dyDescent="0.25">
      <c r="A46" s="1" t="s">
        <v>108</v>
      </c>
    </row>
    <row r="48" spans="1:3" x14ac:dyDescent="0.2">
      <c r="A48" s="2" t="s">
        <v>40</v>
      </c>
      <c r="B48" s="2">
        <v>80</v>
      </c>
    </row>
    <row r="49" spans="1:4" x14ac:dyDescent="0.2">
      <c r="A49" s="2" t="s">
        <v>41</v>
      </c>
      <c r="B49" s="2">
        <v>25</v>
      </c>
    </row>
    <row r="50" spans="1:4" x14ac:dyDescent="0.2">
      <c r="A50" s="2" t="s">
        <v>110</v>
      </c>
      <c r="B50" s="2">
        <f>B48*B49</f>
        <v>2000</v>
      </c>
    </row>
    <row r="52" spans="1:4" x14ac:dyDescent="0.2">
      <c r="C52" s="2" t="s">
        <v>44</v>
      </c>
    </row>
    <row r="53" spans="1:4" x14ac:dyDescent="0.2">
      <c r="C53" s="3" t="s">
        <v>15</v>
      </c>
      <c r="D53" s="3" t="s">
        <v>21</v>
      </c>
    </row>
    <row r="54" spans="1:4" x14ac:dyDescent="0.2">
      <c r="A54" s="2" t="s">
        <v>45</v>
      </c>
      <c r="B54" s="2">
        <v>200000</v>
      </c>
    </row>
    <row r="55" spans="1:4" x14ac:dyDescent="0.2">
      <c r="A55" s="2" t="s">
        <v>42</v>
      </c>
      <c r="B55" s="2">
        <v>140000</v>
      </c>
      <c r="C55" s="6">
        <v>0.06</v>
      </c>
      <c r="D55" s="2">
        <f>C55*B55</f>
        <v>8400</v>
      </c>
    </row>
    <row r="56" spans="1:4" x14ac:dyDescent="0.2">
      <c r="A56" s="2" t="s">
        <v>43</v>
      </c>
      <c r="B56" s="2">
        <v>60000</v>
      </c>
      <c r="C56" s="6">
        <v>0.2</v>
      </c>
      <c r="D56" s="2">
        <f>C56*B56</f>
        <v>12000</v>
      </c>
    </row>
    <row r="58" spans="1:4" x14ac:dyDescent="0.2">
      <c r="A58" s="2" t="s">
        <v>109</v>
      </c>
    </row>
    <row r="59" spans="1:4" ht="15" x14ac:dyDescent="0.25">
      <c r="A59" s="12"/>
    </row>
    <row r="60" spans="1:4" x14ac:dyDescent="0.2">
      <c r="A60" s="2" t="s">
        <v>46</v>
      </c>
      <c r="B60" s="2">
        <v>15000</v>
      </c>
    </row>
    <row r="61" spans="1:4" x14ac:dyDescent="0.2">
      <c r="A61" s="2" t="s">
        <v>47</v>
      </c>
      <c r="B61" s="2">
        <v>20000</v>
      </c>
    </row>
    <row r="62" spans="1:4" x14ac:dyDescent="0.2">
      <c r="A62" s="2" t="s">
        <v>48</v>
      </c>
      <c r="B62" s="2">
        <v>7000</v>
      </c>
    </row>
    <row r="63" spans="1:4" x14ac:dyDescent="0.2">
      <c r="A63" s="2" t="s">
        <v>49</v>
      </c>
      <c r="B63" s="2">
        <v>18000</v>
      </c>
    </row>
    <row r="64" spans="1:4" x14ac:dyDescent="0.2">
      <c r="A64" s="2" t="s">
        <v>14</v>
      </c>
      <c r="B64" s="2">
        <v>4000</v>
      </c>
    </row>
    <row r="65" spans="1:7" x14ac:dyDescent="0.2">
      <c r="A65" s="2" t="s">
        <v>50</v>
      </c>
      <c r="B65" s="13">
        <f>B55*C55/12</f>
        <v>700</v>
      </c>
    </row>
    <row r="66" spans="1:7" x14ac:dyDescent="0.2">
      <c r="A66" s="2" t="s">
        <v>51</v>
      </c>
      <c r="B66" s="14">
        <f>D56/12</f>
        <v>1000</v>
      </c>
    </row>
    <row r="67" spans="1:7" s="1" customFormat="1" ht="15" x14ac:dyDescent="0.25">
      <c r="A67" s="1" t="s">
        <v>52</v>
      </c>
      <c r="B67" s="15">
        <f>SUM(B60:B66)</f>
        <v>65700</v>
      </c>
    </row>
    <row r="69" spans="1:7" x14ac:dyDescent="0.2">
      <c r="A69" s="2" t="s">
        <v>53</v>
      </c>
    </row>
    <row r="71" spans="1:7" x14ac:dyDescent="0.2">
      <c r="B71" s="3" t="s">
        <v>54</v>
      </c>
      <c r="C71" s="3" t="s">
        <v>55</v>
      </c>
      <c r="D71" s="3" t="s">
        <v>56</v>
      </c>
      <c r="E71" s="3" t="s">
        <v>57</v>
      </c>
    </row>
    <row r="72" spans="1:7" x14ac:dyDescent="0.2">
      <c r="A72" s="2" t="s">
        <v>59</v>
      </c>
      <c r="B72" s="3">
        <f>80%*B50</f>
        <v>1600</v>
      </c>
      <c r="C72" s="3">
        <f>B50</f>
        <v>2000</v>
      </c>
      <c r="D72" s="3">
        <f>80%*B50</f>
        <v>1600</v>
      </c>
      <c r="E72" s="3">
        <f>B50</f>
        <v>2000</v>
      </c>
    </row>
    <row r="73" spans="1:7" x14ac:dyDescent="0.2">
      <c r="B73" s="3"/>
      <c r="C73" s="3"/>
      <c r="D73" s="3"/>
      <c r="E73" s="3"/>
      <c r="F73" s="3" t="s">
        <v>6</v>
      </c>
    </row>
    <row r="74" spans="1:7" x14ac:dyDescent="0.2">
      <c r="A74" s="2" t="s">
        <v>112</v>
      </c>
      <c r="B74" s="9">
        <v>0.15</v>
      </c>
      <c r="C74" s="9">
        <v>0.45</v>
      </c>
      <c r="D74" s="9">
        <v>0.1</v>
      </c>
      <c r="E74" s="9">
        <v>0.3</v>
      </c>
      <c r="F74" s="9">
        <f>SUM(B74:E74)</f>
        <v>1</v>
      </c>
    </row>
    <row r="75" spans="1:7" ht="15" x14ac:dyDescent="0.25">
      <c r="A75" s="2" t="s">
        <v>111</v>
      </c>
      <c r="B75" s="9">
        <v>0.8</v>
      </c>
      <c r="C75" s="9">
        <v>0.7</v>
      </c>
      <c r="D75" s="9">
        <v>0.8</v>
      </c>
      <c r="E75" s="9">
        <v>0.75</v>
      </c>
      <c r="F75" s="18">
        <f>B74*B75+C74*C75+D74*D75+E74*E75</f>
        <v>0.74</v>
      </c>
    </row>
    <row r="76" spans="1:7" ht="15" x14ac:dyDescent="0.25">
      <c r="B76" s="9"/>
      <c r="C76" s="9"/>
      <c r="D76" s="9"/>
      <c r="E76" s="9"/>
      <c r="F76" s="18"/>
    </row>
    <row r="77" spans="1:7" x14ac:dyDescent="0.2">
      <c r="A77" s="2" t="s">
        <v>242</v>
      </c>
      <c r="B77" s="13">
        <f>B78*1.13</f>
        <v>15048.851351351352</v>
      </c>
      <c r="C77" s="13">
        <f t="shared" ref="C77:D77" si="0">C78*1.13</f>
        <v>45146.554054054053</v>
      </c>
      <c r="D77" s="13">
        <f t="shared" si="0"/>
        <v>10032.567567567567</v>
      </c>
      <c r="E77" s="13">
        <f>E78*1.23</f>
        <v>32761.216216216217</v>
      </c>
      <c r="F77" s="13">
        <f>F78*1.22</f>
        <v>108316.21621621621</v>
      </c>
      <c r="G77" s="20"/>
    </row>
    <row r="78" spans="1:7" x14ac:dyDescent="0.2">
      <c r="A78" s="2" t="s">
        <v>12</v>
      </c>
      <c r="B78" s="13">
        <f>$F$78*B74</f>
        <v>13317.567567567568</v>
      </c>
      <c r="C78" s="13">
        <f>$F$78*C74</f>
        <v>39952.702702702707</v>
      </c>
      <c r="D78" s="13">
        <f>$F$78*D74</f>
        <v>8878.3783783783783</v>
      </c>
      <c r="E78" s="13">
        <f>$F$78*E74</f>
        <v>26635.135135135137</v>
      </c>
      <c r="F78" s="13">
        <f>F80/F75</f>
        <v>88783.783783783787</v>
      </c>
      <c r="G78" s="20">
        <f t="shared" ref="G78:G79" si="1">F78/$F$78</f>
        <v>1</v>
      </c>
    </row>
    <row r="79" spans="1:7" x14ac:dyDescent="0.2">
      <c r="A79" s="2" t="s">
        <v>2</v>
      </c>
      <c r="B79" s="14">
        <f>B78-B80</f>
        <v>2663.5135135135133</v>
      </c>
      <c r="C79" s="14">
        <f t="shared" ref="C79:E79" si="2">C78-C80</f>
        <v>11985.810810810814</v>
      </c>
      <c r="D79" s="14">
        <f t="shared" si="2"/>
        <v>1775.6756756756749</v>
      </c>
      <c r="E79" s="14">
        <f t="shared" si="2"/>
        <v>6658.7837837837833</v>
      </c>
      <c r="F79" s="14">
        <f>F78-F80</f>
        <v>23083.783783783787</v>
      </c>
      <c r="G79" s="21">
        <f t="shared" si="1"/>
        <v>0.26</v>
      </c>
    </row>
    <row r="80" spans="1:7" x14ac:dyDescent="0.2">
      <c r="A80" s="2" t="s">
        <v>13</v>
      </c>
      <c r="B80" s="13">
        <f>B78*B75</f>
        <v>10654.054054054055</v>
      </c>
      <c r="C80" s="13">
        <f>C78*C75</f>
        <v>27966.891891891893</v>
      </c>
      <c r="D80" s="13">
        <f>D78*D75</f>
        <v>7102.7027027027034</v>
      </c>
      <c r="E80" s="13">
        <f>E78*E75</f>
        <v>19976.351351351354</v>
      </c>
      <c r="F80" s="13">
        <f>B67</f>
        <v>65700</v>
      </c>
      <c r="G80" s="20">
        <f>F80/$F$78</f>
        <v>0.74</v>
      </c>
    </row>
    <row r="82" spans="1:7" ht="15" x14ac:dyDescent="0.25">
      <c r="A82" s="1" t="s">
        <v>113</v>
      </c>
      <c r="B82" s="19">
        <f>B77/B72</f>
        <v>9.4055320945945944</v>
      </c>
      <c r="C82" s="19">
        <f t="shared" ref="C82:E82" si="3">C77/C72</f>
        <v>22.573277027027025</v>
      </c>
      <c r="D82" s="19">
        <f t="shared" si="3"/>
        <v>6.2703547297297293</v>
      </c>
      <c r="E82" s="19">
        <f t="shared" si="3"/>
        <v>16.38060810810811</v>
      </c>
    </row>
    <row r="83" spans="1:7" x14ac:dyDescent="0.2">
      <c r="G83" s="13"/>
    </row>
    <row r="84" spans="1:7" ht="15" x14ac:dyDescent="0.25">
      <c r="A84" s="1" t="s">
        <v>114</v>
      </c>
    </row>
    <row r="86" spans="1:7" x14ac:dyDescent="0.2">
      <c r="A86" s="2" t="s">
        <v>68</v>
      </c>
      <c r="B86" s="2">
        <v>90</v>
      </c>
    </row>
    <row r="87" spans="1:7" x14ac:dyDescent="0.2">
      <c r="A87" s="2" t="s">
        <v>115</v>
      </c>
      <c r="B87" s="4">
        <v>12.5</v>
      </c>
    </row>
    <row r="88" spans="1:7" x14ac:dyDescent="0.2">
      <c r="B88" s="4"/>
    </row>
    <row r="89" spans="1:7" x14ac:dyDescent="0.2">
      <c r="A89" s="2" t="s">
        <v>74</v>
      </c>
      <c r="B89" s="4"/>
    </row>
    <row r="90" spans="1:7" x14ac:dyDescent="0.2">
      <c r="C90" s="3" t="s">
        <v>15</v>
      </c>
    </row>
    <row r="91" spans="1:7" x14ac:dyDescent="0.2">
      <c r="A91" s="2" t="s">
        <v>116</v>
      </c>
      <c r="B91" s="13">
        <f>B92*1.13</f>
        <v>3632.1428571428573</v>
      </c>
      <c r="C91" s="20"/>
    </row>
    <row r="92" spans="1:7" x14ac:dyDescent="0.2">
      <c r="A92" s="2" t="s">
        <v>12</v>
      </c>
      <c r="B92" s="13">
        <f>B93/C93</f>
        <v>3214.2857142857147</v>
      </c>
      <c r="C92" s="20">
        <v>1</v>
      </c>
    </row>
    <row r="93" spans="1:7" x14ac:dyDescent="0.2">
      <c r="A93" s="2" t="s">
        <v>2</v>
      </c>
      <c r="B93" s="14">
        <f>B86*B87</f>
        <v>1125</v>
      </c>
      <c r="C93" s="22">
        <f>C92-C94</f>
        <v>0.35</v>
      </c>
    </row>
    <row r="94" spans="1:7" x14ac:dyDescent="0.2">
      <c r="A94" s="2" t="s">
        <v>13</v>
      </c>
      <c r="B94" s="13">
        <f>B92-B93</f>
        <v>2089.2857142857147</v>
      </c>
      <c r="C94" s="6">
        <v>0.65</v>
      </c>
    </row>
    <row r="95" spans="1:7" x14ac:dyDescent="0.2">
      <c r="B95" s="4"/>
      <c r="C95" s="6"/>
    </row>
    <row r="96" spans="1:7" ht="15" x14ac:dyDescent="0.25">
      <c r="A96" s="1" t="s">
        <v>117</v>
      </c>
      <c r="B96" s="19">
        <f>B91/B86</f>
        <v>40.357142857142861</v>
      </c>
      <c r="C96" s="6"/>
    </row>
    <row r="98" spans="1:2" x14ac:dyDescent="0.2">
      <c r="A98" s="17" t="s">
        <v>70</v>
      </c>
    </row>
    <row r="99" spans="1:2" x14ac:dyDescent="0.2">
      <c r="A99" s="2" t="s">
        <v>22</v>
      </c>
    </row>
    <row r="100" spans="1:2" x14ac:dyDescent="0.2">
      <c r="A100" s="2" t="s">
        <v>69</v>
      </c>
      <c r="B100" s="4">
        <f>(1.5*2500)/159</f>
        <v>23.584905660377359</v>
      </c>
    </row>
    <row r="101" spans="1:2" x14ac:dyDescent="0.2">
      <c r="B101" s="4"/>
    </row>
    <row r="102" spans="1:2" x14ac:dyDescent="0.2">
      <c r="A102" s="2" t="s">
        <v>73</v>
      </c>
      <c r="B102" s="13">
        <f>B100*25</f>
        <v>589.62264150943395</v>
      </c>
    </row>
    <row r="103" spans="1:2" x14ac:dyDescent="0.2">
      <c r="A103" s="2" t="s">
        <v>71</v>
      </c>
      <c r="B103" s="13">
        <v>340</v>
      </c>
    </row>
    <row r="104" spans="1:2" x14ac:dyDescent="0.2">
      <c r="A104" s="2" t="s">
        <v>72</v>
      </c>
      <c r="B104" s="13">
        <f>B102+B103</f>
        <v>929.62264150943395</v>
      </c>
    </row>
    <row r="105" spans="1:2" x14ac:dyDescent="0.2">
      <c r="A105" s="2" t="s">
        <v>118</v>
      </c>
      <c r="B105" s="13">
        <f>B104*1.13</f>
        <v>1050.4735849056603</v>
      </c>
    </row>
    <row r="106" spans="1:2" ht="15" x14ac:dyDescent="0.25">
      <c r="A106" s="1" t="s">
        <v>135</v>
      </c>
      <c r="B106" s="19">
        <f>B105/B86</f>
        <v>11.671928721174003</v>
      </c>
    </row>
    <row r="108" spans="1:2" ht="15" x14ac:dyDescent="0.25">
      <c r="A108" s="1" t="s">
        <v>75</v>
      </c>
      <c r="B108" s="19">
        <f>B96+B106</f>
        <v>52.029071578316866</v>
      </c>
    </row>
    <row r="111" spans="1:2" ht="15" x14ac:dyDescent="0.25">
      <c r="A111" s="1" t="s">
        <v>119</v>
      </c>
    </row>
    <row r="112" spans="1:2" ht="15" x14ac:dyDescent="0.25">
      <c r="A112" s="1"/>
    </row>
    <row r="113" spans="1:11" x14ac:dyDescent="0.2">
      <c r="A113" s="2" t="s">
        <v>23</v>
      </c>
      <c r="B113" s="2">
        <v>150</v>
      </c>
      <c r="C113" s="2" t="s">
        <v>24</v>
      </c>
    </row>
    <row r="115" spans="1:11" x14ac:dyDescent="0.2">
      <c r="A115" s="2" t="s">
        <v>120</v>
      </c>
    </row>
    <row r="117" spans="1:11" ht="71.25" x14ac:dyDescent="0.2">
      <c r="A117" s="47" t="s">
        <v>243</v>
      </c>
      <c r="B117" s="2">
        <v>8000</v>
      </c>
      <c r="C117" s="6">
        <v>1</v>
      </c>
    </row>
    <row r="118" spans="1:11" x14ac:dyDescent="0.2">
      <c r="A118" s="2" t="s">
        <v>2</v>
      </c>
      <c r="B118" s="17">
        <f>B117*C118</f>
        <v>2800</v>
      </c>
      <c r="C118" s="24">
        <f>C117-C119</f>
        <v>0.35</v>
      </c>
    </row>
    <row r="119" spans="1:11" x14ac:dyDescent="0.2">
      <c r="A119" s="2" t="s">
        <v>13</v>
      </c>
      <c r="B119" s="13">
        <f>C119*B117</f>
        <v>5200</v>
      </c>
      <c r="C119" s="6">
        <v>0.65</v>
      </c>
    </row>
    <row r="121" spans="1:11" x14ac:dyDescent="0.2">
      <c r="A121" s="2" t="s">
        <v>121</v>
      </c>
      <c r="B121" s="2">
        <v>300</v>
      </c>
      <c r="K121" s="7"/>
    </row>
    <row r="123" spans="1:11" ht="15" x14ac:dyDescent="0.25">
      <c r="A123" s="2" t="s">
        <v>122</v>
      </c>
      <c r="B123" s="15">
        <f>B119+B121</f>
        <v>5500</v>
      </c>
    </row>
    <row r="125" spans="1:11" x14ac:dyDescent="0.2">
      <c r="A125" s="2" t="s">
        <v>123</v>
      </c>
    </row>
    <row r="126" spans="1:11" x14ac:dyDescent="0.2">
      <c r="A126" s="2" t="s">
        <v>20</v>
      </c>
      <c r="B126" s="2">
        <f>20*B113</f>
        <v>3000</v>
      </c>
      <c r="C126" s="20">
        <f>B126/B127</f>
        <v>1.23</v>
      </c>
    </row>
    <row r="127" spans="1:11" x14ac:dyDescent="0.2">
      <c r="A127" s="2" t="s">
        <v>12</v>
      </c>
      <c r="B127" s="13">
        <f>B126/1.23</f>
        <v>2439.0243902439024</v>
      </c>
      <c r="C127" s="6">
        <v>1</v>
      </c>
    </row>
    <row r="128" spans="1:11" x14ac:dyDescent="0.2">
      <c r="A128" s="2" t="s">
        <v>2</v>
      </c>
      <c r="B128" s="14">
        <f>$B$127*C128</f>
        <v>731.70731707317066</v>
      </c>
      <c r="C128" s="6">
        <v>0.3</v>
      </c>
    </row>
    <row r="129" spans="1:7" ht="15" x14ac:dyDescent="0.25">
      <c r="A129" s="2" t="s">
        <v>13</v>
      </c>
      <c r="B129" s="15">
        <f>$B$127*C129</f>
        <v>1707.3170731707316</v>
      </c>
      <c r="C129" s="6">
        <v>0.7</v>
      </c>
    </row>
    <row r="131" spans="1:7" ht="15" x14ac:dyDescent="0.25">
      <c r="A131" s="2" t="s">
        <v>124</v>
      </c>
      <c r="B131" s="15">
        <f>B123-B129</f>
        <v>3792.6829268292686</v>
      </c>
    </row>
    <row r="133" spans="1:7" x14ac:dyDescent="0.2">
      <c r="B133" s="3" t="s">
        <v>125</v>
      </c>
      <c r="C133" s="3" t="s">
        <v>15</v>
      </c>
      <c r="D133" s="3" t="s">
        <v>126</v>
      </c>
      <c r="E133" s="3" t="s">
        <v>15</v>
      </c>
      <c r="F133" s="3" t="s">
        <v>19</v>
      </c>
      <c r="G133" s="3" t="s">
        <v>15</v>
      </c>
    </row>
    <row r="134" spans="1:7" x14ac:dyDescent="0.2">
      <c r="A134" s="2" t="s">
        <v>20</v>
      </c>
      <c r="B134" s="13">
        <f>B135*1.13</f>
        <v>3993.3733583489684</v>
      </c>
      <c r="C134" s="7">
        <f>B134/B135</f>
        <v>1.1299999999999999</v>
      </c>
      <c r="D134" s="13">
        <f>D135*1.23</f>
        <v>2716.7307692307695</v>
      </c>
      <c r="E134" s="7">
        <f>D134/D135</f>
        <v>1.23</v>
      </c>
      <c r="F134" s="13">
        <f>B134+D134</f>
        <v>6710.1041275797379</v>
      </c>
      <c r="G134" s="7">
        <f>F134/F135</f>
        <v>1.1684615384615384</v>
      </c>
    </row>
    <row r="135" spans="1:7" x14ac:dyDescent="0.2">
      <c r="A135" s="2" t="s">
        <v>12</v>
      </c>
      <c r="B135" s="13">
        <f>B136/C136</f>
        <v>3533.9587242026273</v>
      </c>
      <c r="C135" s="7">
        <v>1</v>
      </c>
      <c r="D135" s="13">
        <f>D136/E136</f>
        <v>2208.7242026266417</v>
      </c>
      <c r="E135" s="23">
        <v>1</v>
      </c>
      <c r="F135" s="13">
        <f>F137+F136</f>
        <v>5742.6829268292686</v>
      </c>
      <c r="G135" s="7">
        <f t="shared" ref="G135:G136" si="4">F135/$F$135</f>
        <v>1</v>
      </c>
    </row>
    <row r="136" spans="1:7" x14ac:dyDescent="0.2">
      <c r="A136" s="2" t="s">
        <v>2</v>
      </c>
      <c r="B136" s="17">
        <f>B113*8</f>
        <v>1200</v>
      </c>
      <c r="C136" s="7">
        <f>C135-C137</f>
        <v>0.33956253981737095</v>
      </c>
      <c r="D136" s="17">
        <f>B113*5</f>
        <v>750</v>
      </c>
      <c r="E136" s="7">
        <f>E135-E137</f>
        <v>0.33956253981737095</v>
      </c>
      <c r="F136" s="17">
        <f>B136+D136</f>
        <v>1950</v>
      </c>
      <c r="G136" s="7">
        <f t="shared" si="4"/>
        <v>0.339562539817371</v>
      </c>
    </row>
    <row r="137" spans="1:7" x14ac:dyDescent="0.2">
      <c r="A137" s="2" t="s">
        <v>13</v>
      </c>
      <c r="B137" s="13">
        <f>B135-B136</f>
        <v>2333.9587242026273</v>
      </c>
      <c r="C137" s="7">
        <f>G137</f>
        <v>0.66043746018262905</v>
      </c>
      <c r="D137" s="13">
        <f>D135-D136</f>
        <v>1458.7242026266417</v>
      </c>
      <c r="E137" s="23">
        <f>G137</f>
        <v>0.66043746018262905</v>
      </c>
      <c r="F137" s="13">
        <f>B131</f>
        <v>3792.6829268292686</v>
      </c>
      <c r="G137" s="7">
        <f>F137/$F$135</f>
        <v>0.66043746018262905</v>
      </c>
    </row>
    <row r="138" spans="1:7" x14ac:dyDescent="0.2">
      <c r="B138" s="13"/>
      <c r="C138" s="4"/>
      <c r="D138" s="8"/>
      <c r="E138" s="8"/>
      <c r="F138" s="13"/>
    </row>
    <row r="139" spans="1:7" s="1" customFormat="1" ht="15" x14ac:dyDescent="0.25">
      <c r="A139" s="1" t="s">
        <v>127</v>
      </c>
      <c r="B139" s="19">
        <f>B134/$B$113</f>
        <v>26.622489055659788</v>
      </c>
      <c r="D139" s="19">
        <f>D134/$B$113</f>
        <v>18.111538461538462</v>
      </c>
      <c r="E139" s="16"/>
      <c r="F139" s="19">
        <f>F134/$B$113</f>
        <v>44.73402751719825</v>
      </c>
    </row>
    <row r="140" spans="1:7" x14ac:dyDescent="0.2">
      <c r="E140" s="8"/>
    </row>
    <row r="141" spans="1:7" ht="15" x14ac:dyDescent="0.25">
      <c r="A141" s="1" t="s">
        <v>128</v>
      </c>
      <c r="B141" s="8"/>
      <c r="C141" s="8"/>
      <c r="E141" s="8"/>
    </row>
    <row r="143" spans="1:7" x14ac:dyDescent="0.2">
      <c r="A143" s="2" t="s">
        <v>130</v>
      </c>
    </row>
    <row r="144" spans="1:7" x14ac:dyDescent="0.2">
      <c r="B144" s="3" t="s">
        <v>129</v>
      </c>
      <c r="C144" s="3" t="s">
        <v>25</v>
      </c>
      <c r="D144" s="3" t="s">
        <v>18</v>
      </c>
    </row>
    <row r="145" spans="1:5" x14ac:dyDescent="0.2">
      <c r="A145" s="2" t="s">
        <v>26</v>
      </c>
      <c r="B145" s="2">
        <f>2*15</f>
        <v>30</v>
      </c>
      <c r="C145" s="2">
        <f>(12*300)/90</f>
        <v>40</v>
      </c>
      <c r="D145" s="2">
        <f t="shared" ref="D145:D150" si="5">B145*C145</f>
        <v>1200</v>
      </c>
    </row>
    <row r="146" spans="1:5" x14ac:dyDescent="0.2">
      <c r="A146" s="2" t="s">
        <v>27</v>
      </c>
      <c r="B146" s="2">
        <f>2*2</f>
        <v>4</v>
      </c>
      <c r="C146" s="2">
        <f>(12*300)/90</f>
        <v>40</v>
      </c>
      <c r="D146" s="2">
        <f t="shared" si="5"/>
        <v>160</v>
      </c>
    </row>
    <row r="147" spans="1:5" x14ac:dyDescent="0.2">
      <c r="A147" s="2" t="s">
        <v>28</v>
      </c>
      <c r="B147" s="2">
        <f>15*2</f>
        <v>30</v>
      </c>
      <c r="C147" s="2">
        <f>90</f>
        <v>90</v>
      </c>
      <c r="D147" s="2">
        <f t="shared" si="5"/>
        <v>2700</v>
      </c>
    </row>
    <row r="148" spans="1:5" x14ac:dyDescent="0.2">
      <c r="A148" s="2" t="s">
        <v>131</v>
      </c>
      <c r="B148" s="2">
        <v>4</v>
      </c>
      <c r="C148" s="2">
        <f>90</f>
        <v>90</v>
      </c>
      <c r="D148" s="2">
        <f t="shared" si="5"/>
        <v>360</v>
      </c>
    </row>
    <row r="149" spans="1:5" x14ac:dyDescent="0.2">
      <c r="A149" s="2" t="s">
        <v>29</v>
      </c>
      <c r="B149" s="2">
        <f>2*2</f>
        <v>4</v>
      </c>
      <c r="C149" s="2">
        <v>300</v>
      </c>
      <c r="D149" s="2">
        <f t="shared" si="5"/>
        <v>1200</v>
      </c>
    </row>
    <row r="150" spans="1:5" x14ac:dyDescent="0.2">
      <c r="A150" s="2" t="s">
        <v>30</v>
      </c>
      <c r="B150" s="2">
        <v>12</v>
      </c>
      <c r="C150" s="2">
        <v>20</v>
      </c>
      <c r="D150" s="17">
        <f t="shared" si="5"/>
        <v>240</v>
      </c>
    </row>
    <row r="151" spans="1:5" ht="15" x14ac:dyDescent="0.25">
      <c r="A151" s="1" t="s">
        <v>6</v>
      </c>
      <c r="D151" s="1">
        <f>SUM(D145:D150)</f>
        <v>5860</v>
      </c>
    </row>
    <row r="153" spans="1:5" ht="15" x14ac:dyDescent="0.25">
      <c r="A153" s="1" t="s">
        <v>132</v>
      </c>
      <c r="D153" s="19">
        <f>D151/15</f>
        <v>390.66666666666669</v>
      </c>
    </row>
    <row r="155" spans="1:5" ht="15" x14ac:dyDescent="0.25">
      <c r="A155" s="1" t="s">
        <v>133</v>
      </c>
      <c r="D155" s="19">
        <f>D156/E156</f>
        <v>520.88888888888891</v>
      </c>
      <c r="E155" s="7">
        <v>1</v>
      </c>
    </row>
    <row r="156" spans="1:5" x14ac:dyDescent="0.2">
      <c r="A156" s="2" t="s">
        <v>31</v>
      </c>
      <c r="D156" s="5">
        <f>D153</f>
        <v>390.66666666666669</v>
      </c>
      <c r="E156" s="7">
        <f>E155-E157</f>
        <v>0.75</v>
      </c>
    </row>
    <row r="157" spans="1:5" x14ac:dyDescent="0.2">
      <c r="A157" s="2" t="s">
        <v>13</v>
      </c>
      <c r="D157" s="4">
        <f>D155-D156</f>
        <v>130.22222222222223</v>
      </c>
      <c r="E157" s="7">
        <v>0.25</v>
      </c>
    </row>
    <row r="159" spans="1:5" ht="15" x14ac:dyDescent="0.25">
      <c r="A159" s="1" t="s">
        <v>134</v>
      </c>
    </row>
    <row r="161" spans="1:5" x14ac:dyDescent="0.2">
      <c r="A161" s="2" t="s">
        <v>136</v>
      </c>
      <c r="B161" s="2">
        <v>150</v>
      </c>
    </row>
    <row r="162" spans="1:5" x14ac:dyDescent="0.2">
      <c r="A162" s="2" t="s">
        <v>137</v>
      </c>
      <c r="B162" s="2">
        <v>360</v>
      </c>
    </row>
    <row r="163" spans="1:5" x14ac:dyDescent="0.2">
      <c r="A163" s="2" t="s">
        <v>138</v>
      </c>
      <c r="B163" s="6">
        <v>0.6</v>
      </c>
    </row>
    <row r="164" spans="1:5" x14ac:dyDescent="0.2">
      <c r="A164" s="2" t="s">
        <v>139</v>
      </c>
      <c r="B164" s="2">
        <f>B161*B162*B163</f>
        <v>32400</v>
      </c>
    </row>
    <row r="166" spans="1:5" x14ac:dyDescent="0.2">
      <c r="A166" s="2" t="s">
        <v>140</v>
      </c>
    </row>
    <row r="167" spans="1:5" x14ac:dyDescent="0.2">
      <c r="A167" s="2" t="s">
        <v>141</v>
      </c>
      <c r="B167" s="2">
        <v>10000000</v>
      </c>
    </row>
    <row r="168" spans="1:5" x14ac:dyDescent="0.2">
      <c r="A168" s="2" t="s">
        <v>142</v>
      </c>
      <c r="B168" s="2">
        <v>20000000</v>
      </c>
    </row>
    <row r="170" spans="1:5" x14ac:dyDescent="0.2">
      <c r="A170" s="2" t="s">
        <v>143</v>
      </c>
    </row>
    <row r="171" spans="1:5" x14ac:dyDescent="0.2">
      <c r="A171" s="2" t="s">
        <v>141</v>
      </c>
      <c r="B171" s="2">
        <f>B167*8%</f>
        <v>800000</v>
      </c>
    </row>
    <row r="172" spans="1:5" x14ac:dyDescent="0.2">
      <c r="A172" s="2" t="s">
        <v>142</v>
      </c>
      <c r="B172" s="2">
        <f>B168*6%</f>
        <v>1200000</v>
      </c>
    </row>
    <row r="174" spans="1:5" x14ac:dyDescent="0.2">
      <c r="A174" s="2" t="s">
        <v>149</v>
      </c>
      <c r="E174" s="2" t="s">
        <v>241</v>
      </c>
    </row>
    <row r="176" spans="1:5" x14ac:dyDescent="0.2">
      <c r="A176" s="2" t="s">
        <v>144</v>
      </c>
      <c r="B176" s="13">
        <f>B177*1.09</f>
        <v>11393858.37837838</v>
      </c>
      <c r="C176" s="7">
        <f t="shared" ref="C176:C185" si="6">B176/$B$177</f>
        <v>1.0900000000000001</v>
      </c>
      <c r="E176" s="46">
        <f>B176/12</f>
        <v>949488.19819819834</v>
      </c>
    </row>
    <row r="177" spans="1:5" s="1" customFormat="1" ht="15" x14ac:dyDescent="0.25">
      <c r="A177" s="1" t="s">
        <v>145</v>
      </c>
      <c r="B177" s="15">
        <f>B179+B178</f>
        <v>10453081.081081081</v>
      </c>
      <c r="C177" s="25">
        <f t="shared" si="6"/>
        <v>1</v>
      </c>
      <c r="E177" s="46">
        <f t="shared" ref="E177:E186" si="7">B177/12</f>
        <v>871090.09009009006</v>
      </c>
    </row>
    <row r="178" spans="1:5" ht="15" x14ac:dyDescent="0.25">
      <c r="A178" s="2" t="s">
        <v>146</v>
      </c>
      <c r="B178" s="17">
        <f>B164*30</f>
        <v>972000</v>
      </c>
      <c r="C178" s="25">
        <f t="shared" si="6"/>
        <v>9.2986937770836997E-2</v>
      </c>
      <c r="E178" s="46">
        <f t="shared" si="7"/>
        <v>81000</v>
      </c>
    </row>
    <row r="179" spans="1:5" s="1" customFormat="1" ht="15" x14ac:dyDescent="0.25">
      <c r="A179" s="1" t="s">
        <v>147</v>
      </c>
      <c r="B179" s="15">
        <f>B184+B183+B182+B181+B180</f>
        <v>9481081.0810810812</v>
      </c>
      <c r="C179" s="25">
        <f t="shared" si="6"/>
        <v>0.907013062229163</v>
      </c>
      <c r="E179" s="46">
        <f t="shared" si="7"/>
        <v>790090.09009009006</v>
      </c>
    </row>
    <row r="180" spans="1:5" x14ac:dyDescent="0.2">
      <c r="A180" s="2" t="s">
        <v>22</v>
      </c>
      <c r="B180" s="2">
        <v>2500000</v>
      </c>
      <c r="C180" s="7">
        <f t="shared" si="6"/>
        <v>0.23916393459577417</v>
      </c>
      <c r="E180" s="46">
        <f t="shared" si="7"/>
        <v>208333.33333333334</v>
      </c>
    </row>
    <row r="181" spans="1:5" x14ac:dyDescent="0.2">
      <c r="A181" s="2" t="s">
        <v>148</v>
      </c>
      <c r="B181" s="2">
        <v>4000000</v>
      </c>
      <c r="C181" s="7">
        <f t="shared" si="6"/>
        <v>0.38266229535323865</v>
      </c>
      <c r="E181" s="46">
        <f t="shared" si="7"/>
        <v>333333.33333333331</v>
      </c>
    </row>
    <row r="182" spans="1:5" x14ac:dyDescent="0.2">
      <c r="A182" s="2" t="s">
        <v>14</v>
      </c>
      <c r="B182" s="2">
        <v>700000</v>
      </c>
      <c r="C182" s="7">
        <f t="shared" si="6"/>
        <v>6.6965901686816764E-2</v>
      </c>
      <c r="E182" s="46">
        <f t="shared" si="7"/>
        <v>58333.333333333336</v>
      </c>
    </row>
    <row r="183" spans="1:5" x14ac:dyDescent="0.2">
      <c r="A183" s="2" t="s">
        <v>150</v>
      </c>
      <c r="B183" s="17">
        <f>B172</f>
        <v>1200000</v>
      </c>
      <c r="C183" s="7">
        <f t="shared" si="6"/>
        <v>0.1147986886059716</v>
      </c>
      <c r="E183" s="46">
        <f t="shared" si="7"/>
        <v>100000</v>
      </c>
    </row>
    <row r="184" spans="1:5" s="1" customFormat="1" ht="15" x14ac:dyDescent="0.25">
      <c r="A184" s="1" t="s">
        <v>151</v>
      </c>
      <c r="B184" s="15">
        <f>B186/74%</f>
        <v>1081081.0810810812</v>
      </c>
      <c r="C184" s="25">
        <f t="shared" si="6"/>
        <v>0.10342224198736182</v>
      </c>
      <c r="E184" s="46">
        <f t="shared" si="7"/>
        <v>90090.090090090103</v>
      </c>
    </row>
    <row r="185" spans="1:5" x14ac:dyDescent="0.2">
      <c r="A185" s="2" t="s">
        <v>152</v>
      </c>
      <c r="B185" s="14">
        <f>B184*26%</f>
        <v>281081.08108108112</v>
      </c>
      <c r="C185" s="7">
        <f t="shared" si="6"/>
        <v>2.6889782916714074E-2</v>
      </c>
      <c r="E185" s="46">
        <f t="shared" si="7"/>
        <v>23423.423423423428</v>
      </c>
    </row>
    <row r="186" spans="1:5" s="1" customFormat="1" ht="15" x14ac:dyDescent="0.25">
      <c r="A186" s="1" t="s">
        <v>153</v>
      </c>
      <c r="B186" s="1">
        <f>B171</f>
        <v>800000</v>
      </c>
      <c r="C186" s="25">
        <f>B186/$B$177</f>
        <v>7.6532459070647735E-2</v>
      </c>
      <c r="E186" s="46">
        <f t="shared" si="7"/>
        <v>66666.666666666672</v>
      </c>
    </row>
    <row r="188" spans="1:5" s="1" customFormat="1" ht="15" x14ac:dyDescent="0.25">
      <c r="A188" s="1" t="s">
        <v>154</v>
      </c>
      <c r="B188" s="15">
        <f>B176/B164</f>
        <v>351.66229562896234</v>
      </c>
    </row>
    <row r="190" spans="1:5" ht="15" x14ac:dyDescent="0.25">
      <c r="A190" s="1" t="s">
        <v>240</v>
      </c>
    </row>
  </sheetData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91" workbookViewId="0">
      <selection activeCell="F110" sqref="F110"/>
    </sheetView>
  </sheetViews>
  <sheetFormatPr defaultRowHeight="14.25" x14ac:dyDescent="0.2"/>
  <cols>
    <col min="1" max="1" width="29.85546875" style="2" customWidth="1"/>
    <col min="2" max="2" width="12.85546875" style="2" customWidth="1"/>
    <col min="3" max="3" width="11.85546875" style="2" customWidth="1"/>
    <col min="4" max="4" width="11.5703125" style="2" customWidth="1"/>
    <col min="5" max="5" width="10.42578125" style="2" customWidth="1"/>
    <col min="6" max="6" width="10.85546875" style="2" customWidth="1"/>
    <col min="7" max="16384" width="9.140625" style="2"/>
  </cols>
  <sheetData>
    <row r="1" spans="1:3" ht="15" x14ac:dyDescent="0.25">
      <c r="A1" s="1" t="s">
        <v>155</v>
      </c>
    </row>
    <row r="2" spans="1:3" ht="15" x14ac:dyDescent="0.25">
      <c r="A2" s="1"/>
    </row>
    <row r="3" spans="1:3" ht="15" x14ac:dyDescent="0.25">
      <c r="A3" s="1" t="s">
        <v>159</v>
      </c>
    </row>
    <row r="4" spans="1:3" x14ac:dyDescent="0.2">
      <c r="A4" s="2" t="s">
        <v>156</v>
      </c>
      <c r="B4" s="2">
        <v>180</v>
      </c>
    </row>
    <row r="5" spans="1:3" x14ac:dyDescent="0.2">
      <c r="A5" s="2" t="s">
        <v>157</v>
      </c>
      <c r="B5" s="4">
        <v>9.6</v>
      </c>
    </row>
    <row r="6" spans="1:3" x14ac:dyDescent="0.2">
      <c r="A6" s="2" t="s">
        <v>158</v>
      </c>
      <c r="B6" s="4">
        <v>3.4</v>
      </c>
    </row>
    <row r="8" spans="1:3" x14ac:dyDescent="0.2">
      <c r="A8" s="2" t="s">
        <v>20</v>
      </c>
      <c r="B8" s="2">
        <f>B4*B5</f>
        <v>1728</v>
      </c>
      <c r="C8" s="27">
        <f t="shared" ref="C8:C10" si="0">B8/$B$9</f>
        <v>1.1299999999999999</v>
      </c>
    </row>
    <row r="9" spans="1:3" x14ac:dyDescent="0.2">
      <c r="A9" s="2" t="s">
        <v>12</v>
      </c>
      <c r="B9" s="13">
        <f>B8/1.13</f>
        <v>1529.2035398230089</v>
      </c>
      <c r="C9" s="27">
        <f t="shared" si="0"/>
        <v>1</v>
      </c>
    </row>
    <row r="10" spans="1:3" x14ac:dyDescent="0.2">
      <c r="A10" s="2" t="s">
        <v>2</v>
      </c>
      <c r="B10" s="17">
        <f>B4*B6</f>
        <v>612</v>
      </c>
      <c r="C10" s="27">
        <f t="shared" si="0"/>
        <v>0.40020833333333333</v>
      </c>
    </row>
    <row r="11" spans="1:3" ht="15" x14ac:dyDescent="0.25">
      <c r="A11" s="2" t="s">
        <v>13</v>
      </c>
      <c r="B11" s="15">
        <f>B9-B10</f>
        <v>917.2035398230089</v>
      </c>
      <c r="C11" s="27">
        <f>B11/$B$9</f>
        <v>0.59979166666666672</v>
      </c>
    </row>
    <row r="13" spans="1:3" ht="15" x14ac:dyDescent="0.25">
      <c r="A13" s="1" t="s">
        <v>160</v>
      </c>
    </row>
    <row r="14" spans="1:3" x14ac:dyDescent="0.2">
      <c r="A14" s="2" t="s">
        <v>156</v>
      </c>
      <c r="B14" s="2">
        <f>1.1*B4</f>
        <v>198.00000000000003</v>
      </c>
    </row>
    <row r="15" spans="1:3" x14ac:dyDescent="0.2">
      <c r="A15" s="2" t="s">
        <v>157</v>
      </c>
      <c r="B15" s="4">
        <v>9</v>
      </c>
    </row>
    <row r="16" spans="1:3" x14ac:dyDescent="0.2">
      <c r="A16" s="2" t="s">
        <v>158</v>
      </c>
      <c r="B16" s="4">
        <v>3.4</v>
      </c>
    </row>
    <row r="18" spans="1:3" x14ac:dyDescent="0.2">
      <c r="A18" s="2" t="s">
        <v>20</v>
      </c>
      <c r="B18" s="2">
        <f>B14*B15</f>
        <v>1782.0000000000002</v>
      </c>
      <c r="C18" s="27">
        <f t="shared" ref="C18:C20" si="1">B18/$B$19</f>
        <v>1.1299999999999999</v>
      </c>
    </row>
    <row r="19" spans="1:3" x14ac:dyDescent="0.2">
      <c r="A19" s="2" t="s">
        <v>12</v>
      </c>
      <c r="B19" s="13">
        <f>B18/1.13</f>
        <v>1576.9911504424783</v>
      </c>
      <c r="C19" s="27">
        <f t="shared" si="1"/>
        <v>1</v>
      </c>
    </row>
    <row r="20" spans="1:3" x14ac:dyDescent="0.2">
      <c r="A20" s="2" t="s">
        <v>2</v>
      </c>
      <c r="B20" s="14">
        <f>B14*B16</f>
        <v>673.2</v>
      </c>
      <c r="C20" s="27">
        <f t="shared" si="1"/>
        <v>0.42688888888888882</v>
      </c>
    </row>
    <row r="21" spans="1:3" ht="15" x14ac:dyDescent="0.25">
      <c r="A21" s="2" t="s">
        <v>13</v>
      </c>
      <c r="B21" s="15">
        <f>B19-B20</f>
        <v>903.79115044247828</v>
      </c>
      <c r="C21" s="27">
        <f>B21/$B$19</f>
        <v>0.57311111111111124</v>
      </c>
    </row>
    <row r="22" spans="1:3" ht="15" x14ac:dyDescent="0.25">
      <c r="A22" s="1" t="s">
        <v>161</v>
      </c>
    </row>
    <row r="24" spans="1:3" ht="15" x14ac:dyDescent="0.25">
      <c r="A24" s="1" t="s">
        <v>162</v>
      </c>
    </row>
    <row r="25" spans="1:3" x14ac:dyDescent="0.2">
      <c r="A25" s="2" t="s">
        <v>156</v>
      </c>
      <c r="B25" s="2">
        <f>0.9*B4</f>
        <v>162</v>
      </c>
    </row>
    <row r="26" spans="1:3" x14ac:dyDescent="0.2">
      <c r="A26" s="2" t="s">
        <v>157</v>
      </c>
      <c r="B26" s="4">
        <v>10.4</v>
      </c>
    </row>
    <row r="27" spans="1:3" x14ac:dyDescent="0.2">
      <c r="A27" s="2" t="s">
        <v>158</v>
      </c>
      <c r="B27" s="4">
        <v>3.4</v>
      </c>
    </row>
    <row r="29" spans="1:3" x14ac:dyDescent="0.2">
      <c r="A29" s="2" t="s">
        <v>20</v>
      </c>
      <c r="B29" s="13">
        <f>B25*B26</f>
        <v>1684.8</v>
      </c>
      <c r="C29" s="27">
        <f t="shared" ref="C29:C31" si="2">B29/$B$30</f>
        <v>1.1299999999999999</v>
      </c>
    </row>
    <row r="30" spans="1:3" x14ac:dyDescent="0.2">
      <c r="A30" s="2" t="s">
        <v>12</v>
      </c>
      <c r="B30" s="13">
        <f>B29/1.13</f>
        <v>1490.9734513274336</v>
      </c>
      <c r="C30" s="27">
        <f t="shared" si="2"/>
        <v>1</v>
      </c>
    </row>
    <row r="31" spans="1:3" x14ac:dyDescent="0.2">
      <c r="A31" s="2" t="s">
        <v>2</v>
      </c>
      <c r="B31" s="14">
        <f>B25*B27</f>
        <v>550.79999999999995</v>
      </c>
      <c r="C31" s="27">
        <f t="shared" si="2"/>
        <v>0.36942307692307691</v>
      </c>
    </row>
    <row r="32" spans="1:3" ht="15" x14ac:dyDescent="0.25">
      <c r="A32" s="2" t="s">
        <v>13</v>
      </c>
      <c r="B32" s="15">
        <f>B30-B31</f>
        <v>940.17345132743367</v>
      </c>
      <c r="C32" s="27">
        <f>B32/$B$30</f>
        <v>0.63057692307692315</v>
      </c>
    </row>
    <row r="33" spans="1:3" ht="15" x14ac:dyDescent="0.25">
      <c r="A33" s="1" t="s">
        <v>163</v>
      </c>
    </row>
    <row r="36" spans="1:3" ht="15" x14ac:dyDescent="0.25">
      <c r="A36" s="1" t="s">
        <v>164</v>
      </c>
    </row>
    <row r="38" spans="1:3" ht="15" x14ac:dyDescent="0.25">
      <c r="A38" s="1" t="s">
        <v>37</v>
      </c>
    </row>
    <row r="39" spans="1:3" ht="15" x14ac:dyDescent="0.25">
      <c r="A39" s="1"/>
      <c r="B39" s="26"/>
    </row>
    <row r="40" spans="1:3" x14ac:dyDescent="0.2">
      <c r="A40" s="2" t="s">
        <v>166</v>
      </c>
      <c r="B40" s="13">
        <v>4000</v>
      </c>
    </row>
    <row r="41" spans="1:3" ht="15" x14ac:dyDescent="0.25">
      <c r="A41" s="1"/>
    </row>
    <row r="42" spans="1:3" x14ac:dyDescent="0.2">
      <c r="A42" s="2" t="s">
        <v>165</v>
      </c>
      <c r="B42" s="4">
        <v>5.6</v>
      </c>
      <c r="C42" s="7">
        <f>B42/$B$43</f>
        <v>1.23</v>
      </c>
    </row>
    <row r="43" spans="1:3" x14ac:dyDescent="0.2">
      <c r="A43" s="2" t="s">
        <v>60</v>
      </c>
      <c r="B43" s="4">
        <f>B42/1.23</f>
        <v>4.5528455284552845</v>
      </c>
      <c r="C43" s="7">
        <f>B43/$B$43</f>
        <v>1</v>
      </c>
    </row>
    <row r="44" spans="1:3" x14ac:dyDescent="0.2">
      <c r="A44" s="2" t="s">
        <v>38</v>
      </c>
      <c r="B44" s="5">
        <v>1.7</v>
      </c>
      <c r="C44" s="7">
        <f>B44/$B$43</f>
        <v>0.37339285714285714</v>
      </c>
    </row>
    <row r="45" spans="1:3" x14ac:dyDescent="0.2">
      <c r="A45" s="2" t="s">
        <v>39</v>
      </c>
      <c r="B45" s="4">
        <f>B43-B44</f>
        <v>2.8528455284552843</v>
      </c>
      <c r="C45" s="7">
        <f>B45/$B$43</f>
        <v>0.62660714285714281</v>
      </c>
    </row>
    <row r="47" spans="1:3" x14ac:dyDescent="0.2">
      <c r="A47" s="2" t="s">
        <v>20</v>
      </c>
      <c r="B47" s="13">
        <f>$B$40*B42</f>
        <v>22400</v>
      </c>
      <c r="C47" s="7">
        <f>B47/$B$48</f>
        <v>1.23</v>
      </c>
    </row>
    <row r="48" spans="1:3" x14ac:dyDescent="0.2">
      <c r="A48" s="2" t="s">
        <v>12</v>
      </c>
      <c r="B48" s="13">
        <f t="shared" ref="B48:B50" si="3">$B$40*B43</f>
        <v>18211.382113821139</v>
      </c>
      <c r="C48" s="7">
        <f>B48/$B$48</f>
        <v>1</v>
      </c>
    </row>
    <row r="49" spans="1:6" x14ac:dyDescent="0.2">
      <c r="A49" s="2" t="s">
        <v>2</v>
      </c>
      <c r="B49" s="14">
        <f t="shared" si="3"/>
        <v>6800</v>
      </c>
      <c r="C49" s="7">
        <f>B49/$B$48</f>
        <v>0.37339285714285714</v>
      </c>
    </row>
    <row r="50" spans="1:6" x14ac:dyDescent="0.2">
      <c r="A50" s="2" t="s">
        <v>13</v>
      </c>
      <c r="B50" s="13">
        <f t="shared" si="3"/>
        <v>11411.382113821137</v>
      </c>
      <c r="C50" s="7">
        <f>B50/$B$48</f>
        <v>0.62660714285714281</v>
      </c>
    </row>
    <row r="52" spans="1:6" ht="15" x14ac:dyDescent="0.25">
      <c r="A52" s="1" t="s">
        <v>170</v>
      </c>
      <c r="B52" s="1"/>
      <c r="C52" s="1"/>
      <c r="D52" s="1"/>
      <c r="E52" s="26"/>
      <c r="F52" s="26"/>
    </row>
    <row r="53" spans="1:6" ht="15" x14ac:dyDescent="0.25">
      <c r="B53" s="26"/>
      <c r="C53" s="26"/>
      <c r="D53" s="26"/>
      <c r="E53" s="26"/>
      <c r="F53" s="26"/>
    </row>
    <row r="54" spans="1:6" x14ac:dyDescent="0.2">
      <c r="A54" s="2" t="s">
        <v>165</v>
      </c>
      <c r="B54" s="4">
        <v>4.5</v>
      </c>
      <c r="C54" s="7">
        <f t="shared" ref="C54:C56" si="4">B54/$B$55</f>
        <v>1.23</v>
      </c>
      <c r="D54" s="13"/>
      <c r="E54" s="13"/>
      <c r="F54" s="7"/>
    </row>
    <row r="55" spans="1:6" x14ac:dyDescent="0.2">
      <c r="A55" s="2" t="s">
        <v>60</v>
      </c>
      <c r="B55" s="4">
        <f>B54/1.23</f>
        <v>3.6585365853658538</v>
      </c>
      <c r="C55" s="7">
        <f t="shared" si="4"/>
        <v>1</v>
      </c>
    </row>
    <row r="56" spans="1:6" x14ac:dyDescent="0.2">
      <c r="A56" s="2" t="s">
        <v>38</v>
      </c>
      <c r="B56" s="5">
        <v>1.7</v>
      </c>
      <c r="C56" s="7">
        <f t="shared" si="4"/>
        <v>0.46466666666666662</v>
      </c>
    </row>
    <row r="57" spans="1:6" x14ac:dyDescent="0.2">
      <c r="A57" s="2" t="s">
        <v>39</v>
      </c>
      <c r="B57" s="4">
        <f>B55-B56</f>
        <v>1.9585365853658538</v>
      </c>
      <c r="C57" s="7">
        <f>B57/$B$55</f>
        <v>0.53533333333333333</v>
      </c>
    </row>
    <row r="59" spans="1:6" x14ac:dyDescent="0.2">
      <c r="A59" s="2" t="s">
        <v>20</v>
      </c>
      <c r="B59" s="13">
        <f>B60*1.23</f>
        <v>26219.178082191775</v>
      </c>
      <c r="C59" s="7">
        <f t="shared" ref="C59:C60" si="5">B59/$B$60</f>
        <v>1.23</v>
      </c>
    </row>
    <row r="60" spans="1:6" x14ac:dyDescent="0.2">
      <c r="A60" s="2" t="s">
        <v>12</v>
      </c>
      <c r="B60" s="13">
        <f>B62/C62</f>
        <v>21316.404944871363</v>
      </c>
      <c r="C60" s="7">
        <f t="shared" si="5"/>
        <v>1</v>
      </c>
    </row>
    <row r="61" spans="1:6" x14ac:dyDescent="0.2">
      <c r="A61" s="2" t="s">
        <v>2</v>
      </c>
      <c r="B61" s="14">
        <f>B60-B62</f>
        <v>9905.0228310502262</v>
      </c>
      <c r="C61" s="7">
        <f>B61/$B$60</f>
        <v>0.46466666666666662</v>
      </c>
    </row>
    <row r="62" spans="1:6" x14ac:dyDescent="0.2">
      <c r="A62" s="2" t="s">
        <v>13</v>
      </c>
      <c r="B62" s="13">
        <f>B50</f>
        <v>11411.382113821137</v>
      </c>
      <c r="C62" s="7">
        <f>C57</f>
        <v>0.53533333333333333</v>
      </c>
    </row>
    <row r="64" spans="1:6" x14ac:dyDescent="0.2">
      <c r="A64" s="2" t="s">
        <v>167</v>
      </c>
      <c r="B64" s="13">
        <f>B59/B54</f>
        <v>5826.4840182648386</v>
      </c>
    </row>
    <row r="65" spans="1:3" ht="15" x14ac:dyDescent="0.25">
      <c r="A65" s="2" t="s">
        <v>168</v>
      </c>
      <c r="B65" s="15">
        <f>B64-B40</f>
        <v>1826.4840182648386</v>
      </c>
    </row>
    <row r="66" spans="1:3" ht="15" x14ac:dyDescent="0.25">
      <c r="A66" s="2" t="s">
        <v>169</v>
      </c>
      <c r="B66" s="25">
        <f>B65/B40</f>
        <v>0.45662100456620963</v>
      </c>
    </row>
    <row r="68" spans="1:3" ht="15" x14ac:dyDescent="0.25">
      <c r="A68" s="1" t="s">
        <v>171</v>
      </c>
    </row>
    <row r="70" spans="1:3" x14ac:dyDescent="0.2">
      <c r="A70" s="2" t="s">
        <v>174</v>
      </c>
      <c r="B70" s="13">
        <v>350</v>
      </c>
    </row>
    <row r="71" spans="1:3" ht="15" x14ac:dyDescent="0.25">
      <c r="A71" s="1"/>
    </row>
    <row r="72" spans="1:3" x14ac:dyDescent="0.2">
      <c r="A72" s="2" t="s">
        <v>165</v>
      </c>
      <c r="B72" s="4">
        <v>34</v>
      </c>
      <c r="C72" s="7">
        <f t="shared" ref="C72:C74" si="6">B72/$B$73</f>
        <v>1.1299999999999999</v>
      </c>
    </row>
    <row r="73" spans="1:3" x14ac:dyDescent="0.2">
      <c r="A73" s="2" t="s">
        <v>60</v>
      </c>
      <c r="B73" s="4">
        <f>B72/1.13</f>
        <v>30.088495575221241</v>
      </c>
      <c r="C73" s="7">
        <f t="shared" si="6"/>
        <v>1</v>
      </c>
    </row>
    <row r="74" spans="1:3" x14ac:dyDescent="0.2">
      <c r="A74" s="2" t="s">
        <v>38</v>
      </c>
      <c r="B74" s="5">
        <v>9.4</v>
      </c>
      <c r="C74" s="7">
        <f t="shared" si="6"/>
        <v>0.31241176470588233</v>
      </c>
    </row>
    <row r="75" spans="1:3" x14ac:dyDescent="0.2">
      <c r="A75" s="2" t="s">
        <v>13</v>
      </c>
      <c r="B75" s="4">
        <f>B73-B74</f>
        <v>20.688495575221239</v>
      </c>
      <c r="C75" s="7">
        <f>B75/$B$73</f>
        <v>0.68758823529411761</v>
      </c>
    </row>
    <row r="77" spans="1:3" x14ac:dyDescent="0.2">
      <c r="A77" s="2" t="s">
        <v>20</v>
      </c>
      <c r="B77" s="13">
        <f>$B$70*B72</f>
        <v>11900</v>
      </c>
      <c r="C77" s="7">
        <f t="shared" ref="C77:C79" si="7">B77/$B$78</f>
        <v>1.1299999999999999</v>
      </c>
    </row>
    <row r="78" spans="1:3" x14ac:dyDescent="0.2">
      <c r="A78" s="2" t="s">
        <v>12</v>
      </c>
      <c r="B78" s="13">
        <f t="shared" ref="B78:B80" si="8">$B$70*B73</f>
        <v>10530.973451327434</v>
      </c>
      <c r="C78" s="7">
        <f t="shared" si="7"/>
        <v>1</v>
      </c>
    </row>
    <row r="79" spans="1:3" x14ac:dyDescent="0.2">
      <c r="A79" s="2" t="s">
        <v>2</v>
      </c>
      <c r="B79" s="14">
        <f t="shared" si="8"/>
        <v>3290</v>
      </c>
      <c r="C79" s="7">
        <f t="shared" si="7"/>
        <v>0.31241176470588233</v>
      </c>
    </row>
    <row r="80" spans="1:3" x14ac:dyDescent="0.2">
      <c r="A80" s="2" t="s">
        <v>13</v>
      </c>
      <c r="B80" s="13">
        <f t="shared" si="8"/>
        <v>7240.9734513274334</v>
      </c>
      <c r="C80" s="7">
        <f>B80/$B$78</f>
        <v>0.68758823529411761</v>
      </c>
    </row>
    <row r="82" spans="1:3" x14ac:dyDescent="0.2">
      <c r="A82" s="2" t="s">
        <v>173</v>
      </c>
    </row>
    <row r="84" spans="1:3" x14ac:dyDescent="0.2">
      <c r="A84" s="2" t="s">
        <v>165</v>
      </c>
      <c r="B84" s="4">
        <v>29</v>
      </c>
      <c r="C84" s="7">
        <f t="shared" ref="C84:C86" si="9">B84/$B$85</f>
        <v>1.1299999999999999</v>
      </c>
    </row>
    <row r="85" spans="1:3" x14ac:dyDescent="0.2">
      <c r="A85" s="2" t="s">
        <v>60</v>
      </c>
      <c r="B85" s="4">
        <f>B84/1.13</f>
        <v>25.663716814159294</v>
      </c>
      <c r="C85" s="7">
        <f t="shared" si="9"/>
        <v>1</v>
      </c>
    </row>
    <row r="86" spans="1:3" x14ac:dyDescent="0.2">
      <c r="A86" s="2" t="s">
        <v>38</v>
      </c>
      <c r="B86" s="5">
        <v>9.4</v>
      </c>
      <c r="C86" s="7">
        <f t="shared" si="9"/>
        <v>0.36627586206896551</v>
      </c>
    </row>
    <row r="87" spans="1:3" x14ac:dyDescent="0.2">
      <c r="A87" s="2" t="s">
        <v>13</v>
      </c>
      <c r="B87" s="4">
        <f>B85-B86</f>
        <v>16.263716814159295</v>
      </c>
      <c r="C87" s="7">
        <f>B87/$B$85</f>
        <v>0.63372413793103455</v>
      </c>
    </row>
    <row r="89" spans="1:3" x14ac:dyDescent="0.2">
      <c r="A89" s="2" t="s">
        <v>20</v>
      </c>
      <c r="B89" s="13">
        <f>B90*1.13</f>
        <v>12911.453912286426</v>
      </c>
      <c r="C89" s="23">
        <f t="shared" ref="C89:C91" si="10">C84</f>
        <v>1.1299999999999999</v>
      </c>
    </row>
    <row r="90" spans="1:3" x14ac:dyDescent="0.2">
      <c r="A90" s="2" t="s">
        <v>12</v>
      </c>
      <c r="B90" s="13">
        <f>B92/C92</f>
        <v>11426.065409103034</v>
      </c>
      <c r="C90" s="23">
        <f t="shared" si="10"/>
        <v>1</v>
      </c>
    </row>
    <row r="91" spans="1:3" x14ac:dyDescent="0.2">
      <c r="A91" s="2" t="s">
        <v>2</v>
      </c>
      <c r="B91" s="14">
        <f>C91*B90</f>
        <v>4185.0919577756003</v>
      </c>
      <c r="C91" s="23">
        <f t="shared" si="10"/>
        <v>0.36627586206896551</v>
      </c>
    </row>
    <row r="92" spans="1:3" x14ac:dyDescent="0.2">
      <c r="A92" s="2" t="s">
        <v>13</v>
      </c>
      <c r="B92" s="13">
        <f>B80</f>
        <v>7240.9734513274334</v>
      </c>
      <c r="C92" s="23">
        <f>C87</f>
        <v>0.63372413793103455</v>
      </c>
    </row>
    <row r="94" spans="1:3" ht="15" x14ac:dyDescent="0.25">
      <c r="A94" s="2" t="s">
        <v>172</v>
      </c>
      <c r="B94" s="15">
        <f>B89/B84</f>
        <v>445.22254869953196</v>
      </c>
    </row>
    <row r="96" spans="1:3" ht="15" x14ac:dyDescent="0.25">
      <c r="A96" s="1" t="s">
        <v>175</v>
      </c>
    </row>
    <row r="97" spans="1:5" ht="15" x14ac:dyDescent="0.25">
      <c r="B97" s="26" t="s">
        <v>61</v>
      </c>
      <c r="C97" s="26" t="s">
        <v>15</v>
      </c>
      <c r="D97" s="26" t="s">
        <v>62</v>
      </c>
      <c r="E97" s="26" t="s">
        <v>15</v>
      </c>
    </row>
    <row r="98" spans="1:5" x14ac:dyDescent="0.2">
      <c r="A98" s="2" t="s">
        <v>165</v>
      </c>
      <c r="B98" s="4">
        <v>8.5</v>
      </c>
      <c r="C98" s="27">
        <f t="shared" ref="C98:C100" si="11">B98/$B$99</f>
        <v>1.1299999999999999</v>
      </c>
      <c r="D98" s="4">
        <v>7.9</v>
      </c>
      <c r="E98" s="27">
        <f t="shared" ref="E98:E100" si="12">D98/$D$99</f>
        <v>1.1299999999999999</v>
      </c>
    </row>
    <row r="99" spans="1:5" x14ac:dyDescent="0.2">
      <c r="A99" s="2" t="s">
        <v>60</v>
      </c>
      <c r="B99" s="4">
        <f>B98/1.13</f>
        <v>7.5221238938053103</v>
      </c>
      <c r="C99" s="27">
        <f t="shared" si="11"/>
        <v>1</v>
      </c>
      <c r="D99" s="4">
        <f>D98/1.13</f>
        <v>6.9911504424778768</v>
      </c>
      <c r="E99" s="27">
        <f t="shared" si="12"/>
        <v>1</v>
      </c>
    </row>
    <row r="100" spans="1:5" x14ac:dyDescent="0.2">
      <c r="A100" s="2" t="s">
        <v>176</v>
      </c>
      <c r="B100" s="5">
        <v>3</v>
      </c>
      <c r="C100" s="27">
        <f t="shared" si="11"/>
        <v>0.39882352941176469</v>
      </c>
      <c r="D100" s="5">
        <v>3</v>
      </c>
      <c r="E100" s="27">
        <f t="shared" si="12"/>
        <v>0.42911392405063287</v>
      </c>
    </row>
    <row r="101" spans="1:5" x14ac:dyDescent="0.2">
      <c r="A101" s="2" t="s">
        <v>13</v>
      </c>
      <c r="B101" s="4">
        <f>B99-B100</f>
        <v>4.5221238938053103</v>
      </c>
      <c r="C101" s="27">
        <f>B101/$B$99</f>
        <v>0.60117647058823531</v>
      </c>
      <c r="D101" s="4">
        <f>D99-D100</f>
        <v>3.9911504424778768</v>
      </c>
      <c r="E101" s="27">
        <f>D101/$D$99</f>
        <v>0.57088607594936713</v>
      </c>
    </row>
    <row r="103" spans="1:5" x14ac:dyDescent="0.2">
      <c r="A103" s="2" t="s">
        <v>64</v>
      </c>
      <c r="D103" s="2">
        <v>-2.5</v>
      </c>
    </row>
    <row r="104" spans="1:5" x14ac:dyDescent="0.2">
      <c r="A104" s="2" t="s">
        <v>66</v>
      </c>
      <c r="D104" s="4">
        <f>D98-B98</f>
        <v>-0.59999999999999964</v>
      </c>
    </row>
    <row r="105" spans="1:5" x14ac:dyDescent="0.2">
      <c r="A105" s="2" t="s">
        <v>65</v>
      </c>
      <c r="D105" s="7">
        <f>D104/B98</f>
        <v>-7.0588235294117604E-2</v>
      </c>
    </row>
    <row r="106" spans="1:5" x14ac:dyDescent="0.2">
      <c r="A106" s="2" t="s">
        <v>67</v>
      </c>
      <c r="D106" s="7">
        <f>D105*D103</f>
        <v>0.17647058823529402</v>
      </c>
    </row>
    <row r="107" spans="1:5" ht="15" x14ac:dyDescent="0.25">
      <c r="A107" s="2" t="s">
        <v>63</v>
      </c>
      <c r="B107" s="2">
        <v>350</v>
      </c>
      <c r="D107" s="15">
        <f>(1+D106)*B107</f>
        <v>411.76470588235287</v>
      </c>
    </row>
    <row r="108" spans="1:5" x14ac:dyDescent="0.2">
      <c r="D108" s="13"/>
    </row>
    <row r="109" spans="1:5" x14ac:dyDescent="0.2">
      <c r="A109" s="2" t="s">
        <v>177</v>
      </c>
    </row>
    <row r="111" spans="1:5" x14ac:dyDescent="0.2">
      <c r="A111" s="2" t="s">
        <v>12</v>
      </c>
      <c r="B111" s="13">
        <f>B107*B99</f>
        <v>2632.7433628318586</v>
      </c>
      <c r="D111" s="13">
        <f>D107*D99</f>
        <v>2878.7090057261839</v>
      </c>
    </row>
    <row r="112" spans="1:5" x14ac:dyDescent="0.2">
      <c r="A112" s="2" t="s">
        <v>2</v>
      </c>
      <c r="B112" s="14">
        <f>B107*B100</f>
        <v>1050</v>
      </c>
      <c r="D112" s="14">
        <f>D107*D100</f>
        <v>1235.2941176470586</v>
      </c>
    </row>
    <row r="113" spans="1:4" ht="15" x14ac:dyDescent="0.25">
      <c r="A113" s="2" t="s">
        <v>13</v>
      </c>
      <c r="B113" s="15">
        <f>B111-B112</f>
        <v>1582.7433628318586</v>
      </c>
      <c r="D113" s="15">
        <f>D111-D112</f>
        <v>1643.4148880791254</v>
      </c>
    </row>
    <row r="115" spans="1:4" x14ac:dyDescent="0.2">
      <c r="A115" s="2" t="s">
        <v>178</v>
      </c>
    </row>
  </sheetData>
  <sheetProtection password="A166" sheet="1" objects="1" scenarios="1"/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37" workbookViewId="0">
      <selection activeCell="C97" sqref="C97"/>
    </sheetView>
  </sheetViews>
  <sheetFormatPr defaultRowHeight="14.25" x14ac:dyDescent="0.2"/>
  <cols>
    <col min="1" max="1" width="44.28515625" style="2" customWidth="1"/>
    <col min="2" max="10" width="14.42578125" style="2" customWidth="1"/>
    <col min="11" max="16384" width="9.140625" style="2"/>
  </cols>
  <sheetData>
    <row r="1" spans="1:5" ht="15" x14ac:dyDescent="0.25">
      <c r="A1" s="1" t="s">
        <v>179</v>
      </c>
    </row>
    <row r="2" spans="1:5" ht="15" x14ac:dyDescent="0.25">
      <c r="A2" s="1"/>
    </row>
    <row r="3" spans="1:5" x14ac:dyDescent="0.2">
      <c r="A3" s="2" t="s">
        <v>184</v>
      </c>
    </row>
    <row r="4" spans="1:5" x14ac:dyDescent="0.2">
      <c r="B4" s="3" t="s">
        <v>180</v>
      </c>
      <c r="C4" s="3" t="s">
        <v>181</v>
      </c>
    </row>
    <row r="5" spans="1:5" x14ac:dyDescent="0.2">
      <c r="A5" s="2" t="s">
        <v>182</v>
      </c>
      <c r="B5" s="2">
        <v>120</v>
      </c>
      <c r="C5" s="2">
        <v>80</v>
      </c>
    </row>
    <row r="6" spans="1:5" x14ac:dyDescent="0.2">
      <c r="A6" s="2" t="s">
        <v>183</v>
      </c>
      <c r="B6" s="17">
        <v>25</v>
      </c>
      <c r="C6" s="17">
        <v>25</v>
      </c>
      <c r="D6" s="17"/>
    </row>
    <row r="7" spans="1:5" x14ac:dyDescent="0.2">
      <c r="A7" s="2" t="s">
        <v>147</v>
      </c>
      <c r="B7" s="2">
        <f>B5-B6</f>
        <v>95</v>
      </c>
      <c r="C7" s="2">
        <f>C5-C6</f>
        <v>55</v>
      </c>
    </row>
    <row r="9" spans="1:5" ht="15" x14ac:dyDescent="0.25">
      <c r="A9" s="2" t="s">
        <v>186</v>
      </c>
      <c r="C9" s="26"/>
      <c r="E9" s="3"/>
    </row>
    <row r="10" spans="1:5" ht="15" x14ac:dyDescent="0.25">
      <c r="C10" s="26"/>
      <c r="E10" s="3"/>
    </row>
    <row r="11" spans="1:5" x14ac:dyDescent="0.2">
      <c r="A11" s="2" t="s">
        <v>76</v>
      </c>
      <c r="B11" s="2">
        <v>200</v>
      </c>
      <c r="C11" s="2">
        <f>B11*$B$7</f>
        <v>19000</v>
      </c>
    </row>
    <row r="12" spans="1:5" x14ac:dyDescent="0.2">
      <c r="A12" s="2" t="s">
        <v>77</v>
      </c>
      <c r="B12" s="2">
        <v>200</v>
      </c>
      <c r="C12" s="2">
        <f t="shared" ref="C12:C14" si="0">B12*$B$7</f>
        <v>19000</v>
      </c>
    </row>
    <row r="13" spans="1:5" x14ac:dyDescent="0.2">
      <c r="A13" s="2" t="s">
        <v>78</v>
      </c>
      <c r="B13" s="2">
        <v>200</v>
      </c>
      <c r="C13" s="2">
        <f t="shared" si="0"/>
        <v>19000</v>
      </c>
    </row>
    <row r="14" spans="1:5" x14ac:dyDescent="0.2">
      <c r="A14" s="2" t="s">
        <v>79</v>
      </c>
      <c r="B14" s="2">
        <v>100</v>
      </c>
      <c r="C14" s="2">
        <f t="shared" si="0"/>
        <v>9500</v>
      </c>
    </row>
    <row r="15" spans="1:5" ht="15" x14ac:dyDescent="0.25">
      <c r="A15" s="1" t="s">
        <v>185</v>
      </c>
      <c r="C15" s="1">
        <f>SUM(C11:C14)</f>
        <v>66500</v>
      </c>
    </row>
    <row r="17" spans="1:6" x14ac:dyDescent="0.2">
      <c r="A17" s="2" t="s">
        <v>190</v>
      </c>
    </row>
    <row r="18" spans="1:6" x14ac:dyDescent="0.2">
      <c r="A18" s="2" t="s">
        <v>191</v>
      </c>
    </row>
    <row r="20" spans="1:6" ht="15" x14ac:dyDescent="0.25">
      <c r="B20" s="3" t="s">
        <v>187</v>
      </c>
      <c r="C20" s="26"/>
      <c r="D20" s="28" t="s">
        <v>188</v>
      </c>
      <c r="F20" s="3" t="s">
        <v>6</v>
      </c>
    </row>
    <row r="21" spans="1:6" x14ac:dyDescent="0.2">
      <c r="A21" s="2" t="s">
        <v>76</v>
      </c>
      <c r="B21" s="2">
        <v>200</v>
      </c>
      <c r="C21" s="2">
        <f>B21*$B$7</f>
        <v>19000</v>
      </c>
      <c r="D21" s="2">
        <v>100</v>
      </c>
      <c r="E21" s="2">
        <f>D21*$C$7</f>
        <v>5500</v>
      </c>
    </row>
    <row r="22" spans="1:6" x14ac:dyDescent="0.2">
      <c r="A22" s="2" t="s">
        <v>77</v>
      </c>
      <c r="B22" s="2">
        <v>100</v>
      </c>
      <c r="C22" s="2">
        <f t="shared" ref="C22:C24" si="1">B22*$B$7</f>
        <v>9500</v>
      </c>
      <c r="D22" s="2">
        <v>100</v>
      </c>
      <c r="E22" s="2">
        <f t="shared" ref="E22:E24" si="2">D22*$C$7</f>
        <v>5500</v>
      </c>
    </row>
    <row r="23" spans="1:6" x14ac:dyDescent="0.2">
      <c r="A23" s="2" t="s">
        <v>78</v>
      </c>
      <c r="B23" s="2">
        <v>100</v>
      </c>
      <c r="C23" s="2">
        <f t="shared" si="1"/>
        <v>9500</v>
      </c>
      <c r="D23" s="2">
        <v>100</v>
      </c>
      <c r="E23" s="2">
        <f t="shared" si="2"/>
        <v>5500</v>
      </c>
    </row>
    <row r="24" spans="1:6" x14ac:dyDescent="0.2">
      <c r="A24" s="2" t="s">
        <v>79</v>
      </c>
      <c r="B24" s="2">
        <v>100</v>
      </c>
      <c r="C24" s="2">
        <f t="shared" si="1"/>
        <v>9500</v>
      </c>
      <c r="D24" s="2">
        <v>100</v>
      </c>
      <c r="E24" s="2">
        <f t="shared" si="2"/>
        <v>5500</v>
      </c>
    </row>
    <row r="25" spans="1:6" ht="15" x14ac:dyDescent="0.25">
      <c r="A25" s="1" t="s">
        <v>185</v>
      </c>
      <c r="C25" s="1">
        <f>SUM(C21:C24)</f>
        <v>47500</v>
      </c>
      <c r="D25" s="1"/>
      <c r="E25" s="1">
        <f>SUM(E21:E24)</f>
        <v>22000</v>
      </c>
      <c r="F25" s="1">
        <f>SUM(C25:E25)</f>
        <v>69500</v>
      </c>
    </row>
    <row r="27" spans="1:6" ht="15" x14ac:dyDescent="0.25">
      <c r="A27" s="1" t="s">
        <v>100</v>
      </c>
    </row>
    <row r="29" spans="1:6" ht="15" x14ac:dyDescent="0.25">
      <c r="A29" s="1" t="s">
        <v>189</v>
      </c>
    </row>
    <row r="31" spans="1:6" x14ac:dyDescent="0.2">
      <c r="A31" s="2" t="s">
        <v>193</v>
      </c>
      <c r="B31" s="2">
        <f>3*60*50</f>
        <v>9000</v>
      </c>
    </row>
    <row r="33" spans="1:3" x14ac:dyDescent="0.2">
      <c r="A33" s="2" t="s">
        <v>194</v>
      </c>
      <c r="B33" s="2">
        <v>45</v>
      </c>
    </row>
    <row r="34" spans="1:3" x14ac:dyDescent="0.2">
      <c r="A34" s="2" t="s">
        <v>195</v>
      </c>
      <c r="B34" s="2">
        <v>20</v>
      </c>
    </row>
    <row r="36" spans="1:3" x14ac:dyDescent="0.2">
      <c r="A36" s="2" t="s">
        <v>196</v>
      </c>
      <c r="B36" s="2">
        <v>40</v>
      </c>
    </row>
    <row r="37" spans="1:3" x14ac:dyDescent="0.2">
      <c r="A37" s="2" t="s">
        <v>197</v>
      </c>
      <c r="B37" s="2">
        <v>100</v>
      </c>
    </row>
    <row r="38" spans="1:3" x14ac:dyDescent="0.2">
      <c r="A38" s="2" t="s">
        <v>198</v>
      </c>
    </row>
    <row r="40" spans="1:3" x14ac:dyDescent="0.2">
      <c r="A40" s="2" t="s">
        <v>216</v>
      </c>
      <c r="B40" s="3" t="s">
        <v>199</v>
      </c>
      <c r="C40" s="2" t="s">
        <v>200</v>
      </c>
    </row>
    <row r="41" spans="1:3" x14ac:dyDescent="0.2">
      <c r="A41" s="2" t="s">
        <v>210</v>
      </c>
      <c r="B41" s="2">
        <f>B31/45</f>
        <v>200</v>
      </c>
      <c r="C41" s="2">
        <f>B36*3</f>
        <v>120</v>
      </c>
    </row>
    <row r="42" spans="1:3" x14ac:dyDescent="0.2">
      <c r="A42" s="2" t="s">
        <v>211</v>
      </c>
      <c r="B42" s="2">
        <f>B31/20</f>
        <v>450</v>
      </c>
      <c r="C42" s="2">
        <f>B37*3</f>
        <v>300</v>
      </c>
    </row>
    <row r="43" spans="1:3" x14ac:dyDescent="0.2">
      <c r="A43" s="2" t="s">
        <v>212</v>
      </c>
    </row>
    <row r="45" spans="1:3" ht="15" x14ac:dyDescent="0.25">
      <c r="A45" s="1" t="s">
        <v>201</v>
      </c>
    </row>
    <row r="46" spans="1:3" x14ac:dyDescent="0.2">
      <c r="B46" s="3" t="s">
        <v>203</v>
      </c>
      <c r="C46" s="3" t="s">
        <v>192</v>
      </c>
    </row>
    <row r="47" spans="1:3" x14ac:dyDescent="0.2">
      <c r="A47" s="2" t="s">
        <v>202</v>
      </c>
      <c r="B47" s="2">
        <v>120</v>
      </c>
      <c r="C47" s="2">
        <f>B47*B33</f>
        <v>5400</v>
      </c>
    </row>
    <row r="48" spans="1:3" x14ac:dyDescent="0.2">
      <c r="A48" s="2" t="s">
        <v>204</v>
      </c>
      <c r="B48" s="2">
        <f>C48/B34</f>
        <v>180</v>
      </c>
      <c r="C48" s="17">
        <f>C49-C47</f>
        <v>3600</v>
      </c>
    </row>
    <row r="49" spans="1:3" x14ac:dyDescent="0.2">
      <c r="A49" s="2" t="s">
        <v>214</v>
      </c>
      <c r="C49" s="2">
        <f>B31</f>
        <v>9000</v>
      </c>
    </row>
    <row r="50" spans="1:3" x14ac:dyDescent="0.2">
      <c r="A50" s="2" t="s">
        <v>218</v>
      </c>
    </row>
    <row r="52" spans="1:3" x14ac:dyDescent="0.2">
      <c r="A52" s="2" t="s">
        <v>207</v>
      </c>
    </row>
    <row r="53" spans="1:3" x14ac:dyDescent="0.2">
      <c r="A53" s="2" t="s">
        <v>205</v>
      </c>
      <c r="B53" s="2">
        <f>B47*8.4</f>
        <v>1008</v>
      </c>
    </row>
    <row r="54" spans="1:3" x14ac:dyDescent="0.2">
      <c r="A54" s="2" t="s">
        <v>206</v>
      </c>
      <c r="B54" s="17">
        <f>B48*5.2</f>
        <v>936</v>
      </c>
    </row>
    <row r="55" spans="1:3" ht="15" x14ac:dyDescent="0.25">
      <c r="A55" s="2" t="s">
        <v>208</v>
      </c>
      <c r="B55" s="1">
        <f>SUM(B53:B54)</f>
        <v>1944</v>
      </c>
    </row>
    <row r="57" spans="1:3" ht="15" x14ac:dyDescent="0.25">
      <c r="A57" s="1" t="s">
        <v>209</v>
      </c>
    </row>
    <row r="58" spans="1:3" x14ac:dyDescent="0.2">
      <c r="B58" s="3" t="s">
        <v>203</v>
      </c>
      <c r="C58" s="3" t="s">
        <v>192</v>
      </c>
    </row>
    <row r="59" spans="1:3" x14ac:dyDescent="0.2">
      <c r="A59" s="2" t="s">
        <v>213</v>
      </c>
      <c r="B59" s="2">
        <v>300</v>
      </c>
      <c r="C59" s="2">
        <f>B59*B34</f>
        <v>6000</v>
      </c>
    </row>
    <row r="60" spans="1:3" x14ac:dyDescent="0.2">
      <c r="A60" s="2" t="s">
        <v>217</v>
      </c>
      <c r="B60" s="13">
        <f>C60/B33</f>
        <v>66.666666666666671</v>
      </c>
      <c r="C60" s="17">
        <f>C61-C59</f>
        <v>3000</v>
      </c>
    </row>
    <row r="61" spans="1:3" x14ac:dyDescent="0.2">
      <c r="A61" s="2" t="s">
        <v>214</v>
      </c>
      <c r="C61" s="2">
        <f>B31</f>
        <v>9000</v>
      </c>
    </row>
    <row r="62" spans="1:3" x14ac:dyDescent="0.2">
      <c r="A62" s="2" t="s">
        <v>218</v>
      </c>
    </row>
    <row r="64" spans="1:3" x14ac:dyDescent="0.2">
      <c r="A64" s="2" t="s">
        <v>207</v>
      </c>
    </row>
    <row r="65" spans="1:8" x14ac:dyDescent="0.2">
      <c r="A65" s="2" t="s">
        <v>206</v>
      </c>
      <c r="B65" s="2">
        <f>B59*5.2</f>
        <v>1560</v>
      </c>
    </row>
    <row r="66" spans="1:8" x14ac:dyDescent="0.2">
      <c r="A66" s="2" t="s">
        <v>205</v>
      </c>
      <c r="B66" s="17">
        <f>B60*8.4</f>
        <v>560.00000000000011</v>
      </c>
    </row>
    <row r="67" spans="1:8" ht="15" x14ac:dyDescent="0.25">
      <c r="A67" s="2" t="s">
        <v>208</v>
      </c>
      <c r="B67" s="1">
        <f>SUM(B65:B66)</f>
        <v>2120</v>
      </c>
    </row>
    <row r="69" spans="1:8" ht="15" x14ac:dyDescent="0.25">
      <c r="A69" s="1" t="s">
        <v>215</v>
      </c>
    </row>
    <row r="71" spans="1:8" ht="15" x14ac:dyDescent="0.25">
      <c r="A71" s="1" t="s">
        <v>219</v>
      </c>
    </row>
    <row r="72" spans="1:8" ht="15" x14ac:dyDescent="0.25">
      <c r="A72" s="1"/>
    </row>
    <row r="73" spans="1:8" x14ac:dyDescent="0.2">
      <c r="A73" s="2" t="s">
        <v>80</v>
      </c>
      <c r="B73" s="2">
        <v>70</v>
      </c>
    </row>
    <row r="74" spans="1:8" x14ac:dyDescent="0.2">
      <c r="A74" s="2" t="s">
        <v>81</v>
      </c>
      <c r="B74" s="2">
        <v>1.5</v>
      </c>
    </row>
    <row r="75" spans="1:8" x14ac:dyDescent="0.2">
      <c r="A75" s="2" t="s">
        <v>82</v>
      </c>
      <c r="B75" s="2">
        <f>B73*B74</f>
        <v>105</v>
      </c>
    </row>
    <row r="76" spans="1:8" ht="15" x14ac:dyDescent="0.25">
      <c r="A76" s="1"/>
    </row>
    <row r="77" spans="1:8" ht="15" x14ac:dyDescent="0.25">
      <c r="A77" s="1" t="s">
        <v>83</v>
      </c>
    </row>
    <row r="78" spans="1:8" ht="15" x14ac:dyDescent="0.25">
      <c r="A78" s="1"/>
    </row>
    <row r="79" spans="1:8" ht="15" x14ac:dyDescent="0.25">
      <c r="B79" s="29" t="s">
        <v>84</v>
      </c>
      <c r="C79" s="30"/>
      <c r="D79" s="30"/>
      <c r="E79" s="31"/>
      <c r="F79" s="29" t="s">
        <v>220</v>
      </c>
      <c r="G79" s="30"/>
      <c r="H79" s="31"/>
    </row>
    <row r="80" spans="1:8" ht="15" x14ac:dyDescent="0.25">
      <c r="B80" s="32" t="s">
        <v>86</v>
      </c>
      <c r="C80" s="32" t="s">
        <v>87</v>
      </c>
      <c r="D80" s="32" t="s">
        <v>88</v>
      </c>
      <c r="E80" s="33" t="s">
        <v>6</v>
      </c>
      <c r="F80" s="32" t="s">
        <v>86</v>
      </c>
      <c r="G80" s="32" t="s">
        <v>88</v>
      </c>
      <c r="H80" s="33" t="s">
        <v>6</v>
      </c>
    </row>
    <row r="81" spans="1:8" ht="15" x14ac:dyDescent="0.25">
      <c r="A81" s="2" t="s">
        <v>89</v>
      </c>
      <c r="B81" s="34">
        <v>45</v>
      </c>
      <c r="C81" s="34">
        <f>5%*500</f>
        <v>25</v>
      </c>
      <c r="D81" s="34">
        <v>25</v>
      </c>
      <c r="E81" s="35">
        <f t="shared" ref="E81:E86" si="3">SUM(B81:D81)</f>
        <v>95</v>
      </c>
      <c r="F81" s="34">
        <v>60</v>
      </c>
      <c r="G81" s="34">
        <v>35</v>
      </c>
      <c r="H81" s="35">
        <f t="shared" ref="H81:H86" si="4">SUM(F81:G81)</f>
        <v>95</v>
      </c>
    </row>
    <row r="82" spans="1:8" ht="15" x14ac:dyDescent="0.25">
      <c r="A82" s="2" t="s">
        <v>90</v>
      </c>
      <c r="B82" s="34">
        <v>45</v>
      </c>
      <c r="C82" s="34">
        <f>5%*500</f>
        <v>25</v>
      </c>
      <c r="D82" s="34">
        <v>25</v>
      </c>
      <c r="E82" s="35">
        <f t="shared" si="3"/>
        <v>95</v>
      </c>
      <c r="F82" s="34">
        <v>60</v>
      </c>
      <c r="G82" s="34">
        <v>35</v>
      </c>
      <c r="H82" s="35">
        <f t="shared" si="4"/>
        <v>95</v>
      </c>
    </row>
    <row r="83" spans="1:8" ht="15" x14ac:dyDescent="0.25">
      <c r="A83" s="2" t="s">
        <v>91</v>
      </c>
      <c r="B83" s="34">
        <v>45</v>
      </c>
      <c r="C83" s="34">
        <f>5%*500</f>
        <v>25</v>
      </c>
      <c r="D83" s="34">
        <v>25</v>
      </c>
      <c r="E83" s="35">
        <f t="shared" si="3"/>
        <v>95</v>
      </c>
      <c r="F83" s="34">
        <v>60</v>
      </c>
      <c r="G83" s="34">
        <v>35</v>
      </c>
      <c r="H83" s="35">
        <f t="shared" si="4"/>
        <v>95</v>
      </c>
    </row>
    <row r="84" spans="1:8" ht="15" x14ac:dyDescent="0.25">
      <c r="A84" s="2" t="s">
        <v>92</v>
      </c>
      <c r="B84" s="34">
        <v>45</v>
      </c>
      <c r="C84" s="34">
        <f>5%*700</f>
        <v>35</v>
      </c>
      <c r="D84" s="34">
        <v>25</v>
      </c>
      <c r="E84" s="35">
        <f t="shared" si="3"/>
        <v>105</v>
      </c>
      <c r="F84" s="34">
        <v>60</v>
      </c>
      <c r="G84" s="34">
        <v>35</v>
      </c>
      <c r="H84" s="35">
        <f t="shared" si="4"/>
        <v>95</v>
      </c>
    </row>
    <row r="85" spans="1:8" ht="15" x14ac:dyDescent="0.25">
      <c r="A85" s="2" t="s">
        <v>93</v>
      </c>
      <c r="B85" s="34">
        <v>25</v>
      </c>
      <c r="C85" s="34">
        <f>5%*700</f>
        <v>35</v>
      </c>
      <c r="D85" s="34">
        <v>25</v>
      </c>
      <c r="E85" s="35">
        <f t="shared" si="3"/>
        <v>85</v>
      </c>
      <c r="F85" s="34">
        <v>20</v>
      </c>
      <c r="G85" s="34">
        <v>35</v>
      </c>
      <c r="H85" s="35">
        <f t="shared" si="4"/>
        <v>55</v>
      </c>
    </row>
    <row r="86" spans="1:8" ht="15" x14ac:dyDescent="0.25">
      <c r="A86" s="2" t="s">
        <v>94</v>
      </c>
      <c r="B86" s="34"/>
      <c r="C86" s="34">
        <f>5%*900</f>
        <v>45</v>
      </c>
      <c r="D86" s="34">
        <v>45</v>
      </c>
      <c r="E86" s="35">
        <f t="shared" si="3"/>
        <v>90</v>
      </c>
      <c r="F86" s="34"/>
      <c r="G86" s="34">
        <v>95</v>
      </c>
      <c r="H86" s="35">
        <f t="shared" si="4"/>
        <v>95</v>
      </c>
    </row>
    <row r="87" spans="1:8" ht="15" x14ac:dyDescent="0.25">
      <c r="A87" s="2" t="s">
        <v>18</v>
      </c>
      <c r="B87" s="35">
        <f>SUM(B81:B86)</f>
        <v>205</v>
      </c>
      <c r="C87" s="35">
        <f t="shared" ref="C87:H87" si="5">SUM(C81:C86)</f>
        <v>190</v>
      </c>
      <c r="D87" s="35">
        <f t="shared" si="5"/>
        <v>170</v>
      </c>
      <c r="E87" s="35">
        <f t="shared" si="5"/>
        <v>565</v>
      </c>
      <c r="F87" s="35">
        <f t="shared" si="5"/>
        <v>260</v>
      </c>
      <c r="G87" s="35">
        <f t="shared" si="5"/>
        <v>270</v>
      </c>
      <c r="H87" s="35">
        <f t="shared" si="5"/>
        <v>530</v>
      </c>
    </row>
    <row r="88" spans="1:8" ht="15" x14ac:dyDescent="0.25">
      <c r="B88" s="36"/>
      <c r="C88" s="36"/>
      <c r="D88" s="36"/>
      <c r="E88" s="36"/>
      <c r="F88" s="36"/>
      <c r="G88" s="36"/>
      <c r="H88" s="36"/>
    </row>
    <row r="89" spans="1:8" x14ac:dyDescent="0.2">
      <c r="A89" s="2" t="s">
        <v>221</v>
      </c>
    </row>
    <row r="90" spans="1:8" x14ac:dyDescent="0.2">
      <c r="A90" s="2" t="s">
        <v>222</v>
      </c>
      <c r="B90" s="13">
        <v>30</v>
      </c>
      <c r="C90" s="13">
        <v>32</v>
      </c>
      <c r="D90" s="13">
        <v>18</v>
      </c>
      <c r="F90" s="13">
        <v>65</v>
      </c>
      <c r="G90" s="13">
        <v>38</v>
      </c>
      <c r="H90" s="13"/>
    </row>
    <row r="91" spans="1:8" ht="15" x14ac:dyDescent="0.25">
      <c r="A91" s="2" t="s">
        <v>16</v>
      </c>
      <c r="B91" s="13">
        <f>B90*B87</f>
        <v>6150</v>
      </c>
      <c r="C91" s="13">
        <f>C90*C87</f>
        <v>6080</v>
      </c>
      <c r="D91" s="13">
        <f>D90*D87</f>
        <v>3060</v>
      </c>
      <c r="E91" s="15">
        <f>SUM(B91:D91)</f>
        <v>15290</v>
      </c>
      <c r="F91" s="13">
        <f>F90*F87</f>
        <v>16900</v>
      </c>
      <c r="G91" s="13">
        <f>G90*G87</f>
        <v>10260</v>
      </c>
      <c r="H91" s="15">
        <f>SUM(F91:G91)</f>
        <v>27160</v>
      </c>
    </row>
    <row r="92" spans="1:8" x14ac:dyDescent="0.2">
      <c r="A92" s="2" t="s">
        <v>58</v>
      </c>
      <c r="B92" s="20">
        <v>0.65</v>
      </c>
      <c r="C92" s="6">
        <v>0.65</v>
      </c>
      <c r="D92" s="6">
        <v>0.65</v>
      </c>
      <c r="F92" s="6">
        <v>0.75</v>
      </c>
      <c r="G92" s="6">
        <v>0.75</v>
      </c>
    </row>
    <row r="93" spans="1:8" ht="15" x14ac:dyDescent="0.25">
      <c r="A93" s="2" t="s">
        <v>17</v>
      </c>
      <c r="B93" s="13">
        <f>B92*B91</f>
        <v>3997.5</v>
      </c>
      <c r="C93" s="13">
        <f>C92*C91</f>
        <v>3952</v>
      </c>
      <c r="D93" s="13">
        <f>D92*D91</f>
        <v>1989</v>
      </c>
      <c r="E93" s="15">
        <f>SUM(B93:D93)</f>
        <v>9938.5</v>
      </c>
      <c r="F93" s="13">
        <f>F92*F91</f>
        <v>12675</v>
      </c>
      <c r="G93" s="13">
        <f>G92*G91</f>
        <v>7695</v>
      </c>
      <c r="H93" s="15">
        <f>SUM(F93:G93)</f>
        <v>20370</v>
      </c>
    </row>
    <row r="95" spans="1:8" ht="15" x14ac:dyDescent="0.25">
      <c r="A95" s="2" t="s">
        <v>95</v>
      </c>
      <c r="B95" s="1">
        <f>E87+H87</f>
        <v>1095</v>
      </c>
    </row>
    <row r="96" spans="1:8" ht="15" x14ac:dyDescent="0.25">
      <c r="A96" s="2" t="s">
        <v>223</v>
      </c>
      <c r="B96" s="15">
        <f>E91+H91</f>
        <v>42450</v>
      </c>
    </row>
    <row r="97" spans="1:10" ht="15" x14ac:dyDescent="0.25">
      <c r="A97" s="2" t="s">
        <v>224</v>
      </c>
      <c r="B97" s="15">
        <f>E93+H93</f>
        <v>30308.5</v>
      </c>
    </row>
    <row r="101" spans="1:10" ht="15" x14ac:dyDescent="0.25">
      <c r="A101" s="1" t="s">
        <v>97</v>
      </c>
    </row>
    <row r="102" spans="1:10" ht="15" x14ac:dyDescent="0.25">
      <c r="B102" s="29" t="s">
        <v>84</v>
      </c>
      <c r="C102" s="30"/>
      <c r="D102" s="30"/>
      <c r="E102" s="30"/>
      <c r="F102" s="31"/>
      <c r="G102" s="29" t="s">
        <v>85</v>
      </c>
      <c r="H102" s="30"/>
      <c r="I102" s="30"/>
      <c r="J102" s="31"/>
    </row>
    <row r="103" spans="1:10" ht="15" x14ac:dyDescent="0.25">
      <c r="B103" s="32" t="s">
        <v>86</v>
      </c>
      <c r="C103" s="32" t="s">
        <v>98</v>
      </c>
      <c r="D103" s="32" t="s">
        <v>87</v>
      </c>
      <c r="E103" s="32" t="s">
        <v>88</v>
      </c>
      <c r="F103" s="33" t="s">
        <v>6</v>
      </c>
      <c r="G103" s="32" t="s">
        <v>86</v>
      </c>
      <c r="H103" s="32" t="s">
        <v>98</v>
      </c>
      <c r="I103" s="32" t="s">
        <v>88</v>
      </c>
      <c r="J103" s="33" t="s">
        <v>6</v>
      </c>
    </row>
    <row r="104" spans="1:10" ht="15" x14ac:dyDescent="0.25">
      <c r="A104" s="2" t="s">
        <v>89</v>
      </c>
      <c r="B104" s="34">
        <v>45</v>
      </c>
      <c r="C104" s="34"/>
      <c r="D104" s="34">
        <f>5%*500</f>
        <v>25</v>
      </c>
      <c r="E104" s="34">
        <v>25</v>
      </c>
      <c r="F104" s="35">
        <f t="shared" ref="F104:F109" si="6">SUM(B104:E104)</f>
        <v>95</v>
      </c>
      <c r="G104" s="34">
        <v>60</v>
      </c>
      <c r="H104" s="34"/>
      <c r="I104" s="34">
        <v>35</v>
      </c>
      <c r="J104" s="35">
        <f t="shared" ref="J104:J109" si="7">SUM(G104:I104)</f>
        <v>95</v>
      </c>
    </row>
    <row r="105" spans="1:10" ht="15" x14ac:dyDescent="0.25">
      <c r="A105" s="2" t="s">
        <v>90</v>
      </c>
      <c r="B105" s="34">
        <v>45</v>
      </c>
      <c r="C105" s="34"/>
      <c r="D105" s="34">
        <f>5%*500</f>
        <v>25</v>
      </c>
      <c r="E105" s="34">
        <v>25</v>
      </c>
      <c r="F105" s="35">
        <f t="shared" si="6"/>
        <v>95</v>
      </c>
      <c r="G105" s="34">
        <v>60</v>
      </c>
      <c r="H105" s="34"/>
      <c r="I105" s="34">
        <v>35</v>
      </c>
      <c r="J105" s="35">
        <f t="shared" si="7"/>
        <v>95</v>
      </c>
    </row>
    <row r="106" spans="1:10" ht="15" x14ac:dyDescent="0.25">
      <c r="A106" s="2" t="s">
        <v>91</v>
      </c>
      <c r="B106" s="34">
        <v>45</v>
      </c>
      <c r="C106" s="34">
        <v>60</v>
      </c>
      <c r="D106" s="34"/>
      <c r="E106" s="34"/>
      <c r="F106" s="35">
        <f t="shared" si="6"/>
        <v>105</v>
      </c>
      <c r="G106" s="34">
        <v>45</v>
      </c>
      <c r="H106" s="34">
        <v>60</v>
      </c>
      <c r="I106" s="34"/>
      <c r="J106" s="35">
        <f t="shared" si="7"/>
        <v>105</v>
      </c>
    </row>
    <row r="107" spans="1:10" ht="15" x14ac:dyDescent="0.25">
      <c r="A107" s="2" t="s">
        <v>92</v>
      </c>
      <c r="B107" s="34">
        <v>45</v>
      </c>
      <c r="C107" s="34">
        <v>60</v>
      </c>
      <c r="D107" s="34"/>
      <c r="E107" s="34"/>
      <c r="F107" s="35">
        <f t="shared" si="6"/>
        <v>105</v>
      </c>
      <c r="G107" s="34">
        <v>45</v>
      </c>
      <c r="H107" s="34">
        <v>60</v>
      </c>
      <c r="I107" s="34"/>
      <c r="J107" s="35">
        <f t="shared" si="7"/>
        <v>105</v>
      </c>
    </row>
    <row r="108" spans="1:10" ht="15" x14ac:dyDescent="0.25">
      <c r="A108" s="2" t="s">
        <v>93</v>
      </c>
      <c r="B108" s="34">
        <v>25</v>
      </c>
      <c r="C108" s="34"/>
      <c r="D108" s="34">
        <f>5%*700</f>
        <v>35</v>
      </c>
      <c r="E108" s="34">
        <v>25</v>
      </c>
      <c r="F108" s="35">
        <f t="shared" si="6"/>
        <v>85</v>
      </c>
      <c r="G108" s="34">
        <v>20</v>
      </c>
      <c r="H108" s="34"/>
      <c r="I108" s="34">
        <v>35</v>
      </c>
      <c r="J108" s="35">
        <f t="shared" si="7"/>
        <v>55</v>
      </c>
    </row>
    <row r="109" spans="1:10" ht="15" x14ac:dyDescent="0.25">
      <c r="A109" s="2" t="s">
        <v>94</v>
      </c>
      <c r="B109" s="34"/>
      <c r="C109" s="34"/>
      <c r="D109" s="34">
        <f>5%*900</f>
        <v>45</v>
      </c>
      <c r="E109" s="34">
        <v>45</v>
      </c>
      <c r="F109" s="35">
        <f t="shared" si="6"/>
        <v>90</v>
      </c>
      <c r="G109" s="34"/>
      <c r="H109" s="34"/>
      <c r="I109" s="34">
        <v>95</v>
      </c>
      <c r="J109" s="35">
        <f t="shared" si="7"/>
        <v>95</v>
      </c>
    </row>
    <row r="110" spans="1:10" ht="15" x14ac:dyDescent="0.25">
      <c r="A110" s="2" t="s">
        <v>18</v>
      </c>
      <c r="B110" s="35">
        <f t="shared" ref="B110:J110" si="8">SUM(B104:B109)</f>
        <v>205</v>
      </c>
      <c r="C110" s="35">
        <f t="shared" si="8"/>
        <v>120</v>
      </c>
      <c r="D110" s="35">
        <f t="shared" si="8"/>
        <v>130</v>
      </c>
      <c r="E110" s="35">
        <f t="shared" si="8"/>
        <v>120</v>
      </c>
      <c r="F110" s="35">
        <f t="shared" si="8"/>
        <v>575</v>
      </c>
      <c r="G110" s="35">
        <f t="shared" si="8"/>
        <v>230</v>
      </c>
      <c r="H110" s="35">
        <f t="shared" si="8"/>
        <v>120</v>
      </c>
      <c r="I110" s="35">
        <f t="shared" si="8"/>
        <v>200</v>
      </c>
      <c r="J110" s="35">
        <f t="shared" si="8"/>
        <v>550</v>
      </c>
    </row>
    <row r="111" spans="1:10" ht="1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2" t="s">
        <v>222</v>
      </c>
      <c r="B113" s="13">
        <v>30</v>
      </c>
      <c r="C113" s="13">
        <v>18</v>
      </c>
      <c r="D113" s="13">
        <v>32</v>
      </c>
      <c r="E113" s="13">
        <v>18</v>
      </c>
      <c r="F113" s="13"/>
      <c r="G113" s="13">
        <v>65</v>
      </c>
      <c r="H113" s="13">
        <v>25</v>
      </c>
      <c r="I113" s="13">
        <v>38</v>
      </c>
      <c r="J113" s="13"/>
    </row>
    <row r="114" spans="1:10" ht="15" x14ac:dyDescent="0.25">
      <c r="A114" s="2" t="s">
        <v>16</v>
      </c>
      <c r="B114" s="13">
        <f>B113*B110</f>
        <v>6150</v>
      </c>
      <c r="C114" s="13">
        <f>C113*C110</f>
        <v>2160</v>
      </c>
      <c r="D114" s="13">
        <f>D113*D110</f>
        <v>4160</v>
      </c>
      <c r="E114" s="13">
        <f>E113*E110</f>
        <v>2160</v>
      </c>
      <c r="F114" s="15">
        <f>SUM(B114:E114)</f>
        <v>14630</v>
      </c>
      <c r="G114" s="13">
        <f>G113*G110</f>
        <v>14950</v>
      </c>
      <c r="H114" s="13">
        <f>H113*H110</f>
        <v>3000</v>
      </c>
      <c r="I114" s="13">
        <f>I113*I110</f>
        <v>7600</v>
      </c>
      <c r="J114" s="15">
        <f>SUM(G114:I114)</f>
        <v>25550</v>
      </c>
    </row>
    <row r="115" spans="1:10" x14ac:dyDescent="0.2">
      <c r="A115" s="2" t="s">
        <v>58</v>
      </c>
      <c r="B115" s="6">
        <v>0.65</v>
      </c>
      <c r="C115" s="6">
        <v>0.6</v>
      </c>
      <c r="D115" s="6">
        <v>0.65</v>
      </c>
      <c r="E115" s="6">
        <v>0.65</v>
      </c>
      <c r="G115" s="6">
        <v>0.75</v>
      </c>
      <c r="H115" s="6">
        <v>0.7</v>
      </c>
      <c r="I115" s="6">
        <v>0.75</v>
      </c>
    </row>
    <row r="116" spans="1:10" ht="15" x14ac:dyDescent="0.25">
      <c r="A116" s="2" t="s">
        <v>17</v>
      </c>
      <c r="B116" s="13">
        <f>B115*B114</f>
        <v>3997.5</v>
      </c>
      <c r="C116" s="13">
        <f>C115*C114</f>
        <v>1296</v>
      </c>
      <c r="D116" s="13">
        <f>D115*D114</f>
        <v>2704</v>
      </c>
      <c r="E116" s="13">
        <f>E115*E114</f>
        <v>1404</v>
      </c>
      <c r="F116" s="15">
        <f>SUM(B116:E116)</f>
        <v>9401.5</v>
      </c>
      <c r="G116" s="13">
        <f>G115*G114</f>
        <v>11212.5</v>
      </c>
      <c r="H116" s="13">
        <f>H115*H114</f>
        <v>2100</v>
      </c>
      <c r="I116" s="13">
        <f>I115*I114</f>
        <v>5700</v>
      </c>
      <c r="J116" s="15">
        <f>SUM(G116:I116)</f>
        <v>19012.5</v>
      </c>
    </row>
    <row r="118" spans="1:10" ht="15" x14ac:dyDescent="0.25">
      <c r="A118" s="2" t="s">
        <v>95</v>
      </c>
      <c r="B118" s="1">
        <f>F110+J110</f>
        <v>1125</v>
      </c>
    </row>
    <row r="119" spans="1:10" ht="15" x14ac:dyDescent="0.25">
      <c r="A119" s="2" t="s">
        <v>96</v>
      </c>
      <c r="B119" s="15">
        <f>F114+J114</f>
        <v>40180</v>
      </c>
    </row>
    <row r="120" spans="1:10" ht="15" x14ac:dyDescent="0.25">
      <c r="A120" s="2" t="s">
        <v>5</v>
      </c>
      <c r="B120" s="15">
        <f>F116+J116</f>
        <v>28414</v>
      </c>
    </row>
    <row r="122" spans="1:10" ht="15" x14ac:dyDescent="0.25">
      <c r="A122" s="1" t="s">
        <v>99</v>
      </c>
    </row>
  </sheetData>
  <sheetProtection password="A166" sheet="1" objects="1" scenarios="1"/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C24" sqref="C24"/>
    </sheetView>
  </sheetViews>
  <sheetFormatPr defaultRowHeight="14.25" x14ac:dyDescent="0.2"/>
  <cols>
    <col min="1" max="1" width="23.42578125" style="2" customWidth="1"/>
    <col min="2" max="6" width="17.140625" style="2" customWidth="1"/>
    <col min="7" max="7" width="17.140625" style="3" customWidth="1"/>
    <col min="8" max="16384" width="9.140625" style="2"/>
  </cols>
  <sheetData>
    <row r="1" spans="1:7" ht="15" x14ac:dyDescent="0.25">
      <c r="A1" s="1" t="s">
        <v>225</v>
      </c>
    </row>
    <row r="2" spans="1:7" ht="15" x14ac:dyDescent="0.25">
      <c r="A2" s="1" t="s">
        <v>226</v>
      </c>
    </row>
    <row r="3" spans="1:7" ht="15" x14ac:dyDescent="0.25">
      <c r="A3" s="1"/>
      <c r="G3" s="39" t="s">
        <v>239</v>
      </c>
    </row>
    <row r="4" spans="1:7" ht="15" x14ac:dyDescent="0.25">
      <c r="G4" s="40" t="s">
        <v>7</v>
      </c>
    </row>
    <row r="5" spans="1:7" s="1" customFormat="1" ht="15" x14ac:dyDescent="0.25">
      <c r="A5" s="1" t="s">
        <v>0</v>
      </c>
      <c r="B5" s="35" t="s">
        <v>1</v>
      </c>
      <c r="C5" s="33" t="s">
        <v>227</v>
      </c>
      <c r="D5" s="33" t="s">
        <v>2</v>
      </c>
      <c r="E5" s="33" t="s">
        <v>13</v>
      </c>
      <c r="F5" s="33" t="s">
        <v>228</v>
      </c>
      <c r="G5" s="41" t="s">
        <v>8</v>
      </c>
    </row>
    <row r="6" spans="1:7" x14ac:dyDescent="0.2">
      <c r="A6" s="2" t="s">
        <v>229</v>
      </c>
      <c r="B6" s="34">
        <v>420</v>
      </c>
      <c r="C6" s="34">
        <v>10292</v>
      </c>
      <c r="D6" s="34">
        <v>3488</v>
      </c>
      <c r="E6" s="34">
        <f>C6-D6</f>
        <v>6804</v>
      </c>
      <c r="F6" s="43">
        <f>E6/B6</f>
        <v>16.2</v>
      </c>
      <c r="G6" s="32" t="s">
        <v>9</v>
      </c>
    </row>
    <row r="7" spans="1:7" x14ac:dyDescent="0.2">
      <c r="A7" s="2" t="s">
        <v>232</v>
      </c>
      <c r="B7" s="34">
        <v>82</v>
      </c>
      <c r="C7" s="34">
        <v>1936</v>
      </c>
      <c r="D7" s="34">
        <v>762</v>
      </c>
      <c r="E7" s="34">
        <f t="shared" ref="E7:E15" si="0">C7-D7</f>
        <v>1174</v>
      </c>
      <c r="F7" s="43">
        <f t="shared" ref="F7:F15" si="1">E7/B7</f>
        <v>14.317073170731707</v>
      </c>
      <c r="G7" s="32" t="s">
        <v>10</v>
      </c>
    </row>
    <row r="8" spans="1:7" x14ac:dyDescent="0.2">
      <c r="A8" s="2" t="s">
        <v>233</v>
      </c>
      <c r="B8" s="34">
        <v>116</v>
      </c>
      <c r="C8" s="34">
        <v>2692</v>
      </c>
      <c r="D8" s="34">
        <v>846</v>
      </c>
      <c r="E8" s="34">
        <f t="shared" si="0"/>
        <v>1846</v>
      </c>
      <c r="F8" s="43">
        <f t="shared" si="1"/>
        <v>15.913793103448276</v>
      </c>
      <c r="G8" s="32" t="s">
        <v>9</v>
      </c>
    </row>
    <row r="9" spans="1:7" x14ac:dyDescent="0.2">
      <c r="A9" s="2" t="s">
        <v>234</v>
      </c>
      <c r="B9" s="34">
        <v>47</v>
      </c>
      <c r="C9" s="34">
        <v>1146</v>
      </c>
      <c r="D9" s="34">
        <v>384</v>
      </c>
      <c r="E9" s="34">
        <f t="shared" si="0"/>
        <v>762</v>
      </c>
      <c r="F9" s="43">
        <f t="shared" si="1"/>
        <v>16.212765957446809</v>
      </c>
      <c r="G9" s="32" t="s">
        <v>10</v>
      </c>
    </row>
    <row r="10" spans="1:7" x14ac:dyDescent="0.2">
      <c r="A10" s="2" t="s">
        <v>235</v>
      </c>
      <c r="B10" s="34">
        <v>94</v>
      </c>
      <c r="C10" s="34">
        <v>1918</v>
      </c>
      <c r="D10" s="34">
        <v>746</v>
      </c>
      <c r="E10" s="34">
        <f t="shared" si="0"/>
        <v>1172</v>
      </c>
      <c r="F10" s="43">
        <f t="shared" si="1"/>
        <v>12.468085106382979</v>
      </c>
      <c r="G10" s="32" t="s">
        <v>9</v>
      </c>
    </row>
    <row r="11" spans="1:7" x14ac:dyDescent="0.2">
      <c r="A11" s="2" t="s">
        <v>236</v>
      </c>
      <c r="B11" s="34">
        <v>90</v>
      </c>
      <c r="C11" s="34">
        <v>2088</v>
      </c>
      <c r="D11" s="34">
        <v>714</v>
      </c>
      <c r="E11" s="34">
        <f t="shared" si="0"/>
        <v>1374</v>
      </c>
      <c r="F11" s="43">
        <f t="shared" si="1"/>
        <v>15.266666666666667</v>
      </c>
      <c r="G11" s="32" t="s">
        <v>9</v>
      </c>
    </row>
    <row r="12" spans="1:7" x14ac:dyDescent="0.2">
      <c r="A12" s="2" t="s">
        <v>237</v>
      </c>
      <c r="B12" s="34">
        <v>180</v>
      </c>
      <c r="C12" s="34">
        <v>4824</v>
      </c>
      <c r="D12" s="34">
        <v>1390</v>
      </c>
      <c r="E12" s="34">
        <f t="shared" si="0"/>
        <v>3434</v>
      </c>
      <c r="F12" s="43">
        <f t="shared" si="1"/>
        <v>19.077777777777779</v>
      </c>
      <c r="G12" s="32" t="s">
        <v>11</v>
      </c>
    </row>
    <row r="13" spans="1:7" x14ac:dyDescent="0.2">
      <c r="A13" s="2" t="s">
        <v>3</v>
      </c>
      <c r="B13" s="34">
        <v>106</v>
      </c>
      <c r="C13" s="34">
        <v>3604</v>
      </c>
      <c r="D13" s="34">
        <v>1184</v>
      </c>
      <c r="E13" s="34">
        <f t="shared" si="0"/>
        <v>2420</v>
      </c>
      <c r="F13" s="43">
        <f t="shared" si="1"/>
        <v>22.830188679245282</v>
      </c>
      <c r="G13" s="32" t="s">
        <v>11</v>
      </c>
    </row>
    <row r="14" spans="1:7" x14ac:dyDescent="0.2">
      <c r="A14" s="2" t="s">
        <v>4</v>
      </c>
      <c r="B14" s="34">
        <v>93</v>
      </c>
      <c r="C14" s="34">
        <v>3310</v>
      </c>
      <c r="D14" s="34">
        <v>1026</v>
      </c>
      <c r="E14" s="34">
        <f t="shared" si="0"/>
        <v>2284</v>
      </c>
      <c r="F14" s="43">
        <f t="shared" si="1"/>
        <v>24.559139784946236</v>
      </c>
      <c r="G14" s="32" t="s">
        <v>11</v>
      </c>
    </row>
    <row r="15" spans="1:7" x14ac:dyDescent="0.2">
      <c r="A15" s="2" t="s">
        <v>238</v>
      </c>
      <c r="B15" s="34">
        <v>19</v>
      </c>
      <c r="C15" s="34">
        <v>510</v>
      </c>
      <c r="D15" s="34">
        <v>202</v>
      </c>
      <c r="E15" s="34">
        <f t="shared" si="0"/>
        <v>308</v>
      </c>
      <c r="F15" s="43">
        <f t="shared" si="1"/>
        <v>16.210526315789473</v>
      </c>
      <c r="G15" s="32" t="s">
        <v>10</v>
      </c>
    </row>
    <row r="16" spans="1:7" s="1" customFormat="1" ht="15" x14ac:dyDescent="0.25">
      <c r="A16" s="1" t="s">
        <v>19</v>
      </c>
      <c r="B16" s="35">
        <f>B6+B7+B8+B9+B10+B11+B12+B13+B14+B15</f>
        <v>1247</v>
      </c>
      <c r="C16" s="35">
        <f>C6+C7+C8+C9+C10+C11+C12+C13+C14+C15</f>
        <v>32320</v>
      </c>
      <c r="D16" s="35">
        <f>D6+D7+D8+D9+D10+D11+D12+D13+D14+D15</f>
        <v>10742</v>
      </c>
      <c r="E16" s="35">
        <f>E6+E7+E8+E9+E10+E11+E12+E13+E14+E15</f>
        <v>21578</v>
      </c>
      <c r="F16" s="44">
        <f>F6+F7+F8+F9+F10+F11+F12+F13+F14+F15</f>
        <v>173.05601656243522</v>
      </c>
      <c r="G16" s="26"/>
    </row>
    <row r="17" spans="1:7" s="1" customFormat="1" ht="15.75" thickBot="1" x14ac:dyDescent="0.3">
      <c r="A17" s="2" t="s">
        <v>230</v>
      </c>
      <c r="B17" s="45">
        <f>AVERAGE(B6:B15)</f>
        <v>124.7</v>
      </c>
      <c r="E17" s="37"/>
      <c r="F17" s="42">
        <f>AVERAGE(F6:F15)</f>
        <v>17.305601656243521</v>
      </c>
      <c r="G17" s="26"/>
    </row>
    <row r="18" spans="1:7" s="1" customFormat="1" ht="15.75" thickBot="1" x14ac:dyDescent="0.3">
      <c r="A18" s="1" t="s">
        <v>231</v>
      </c>
      <c r="B18" s="38">
        <f>B17*0.7</f>
        <v>87.289999999999992</v>
      </c>
      <c r="G18" s="26"/>
    </row>
  </sheetData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4.1.-4.10. Hinnoittelu</vt:lpstr>
      <vt:lpstr>4.11.-4.14. Hintajousto</vt:lpstr>
      <vt:lpstr>4.15.-4.17. Optimointi ja RM</vt:lpstr>
      <vt:lpstr>4.18. Menuanalyysi</vt:lpstr>
    </vt:vector>
  </TitlesOfParts>
  <Company>Haaga Insituutti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Haaga Instituutti</dc:creator>
  <cp:lastModifiedBy>Mariitta</cp:lastModifiedBy>
  <cp:lastPrinted>2011-04-28T04:14:24Z</cp:lastPrinted>
  <dcterms:created xsi:type="dcterms:W3CDTF">2002-03-07T06:51:16Z</dcterms:created>
  <dcterms:modified xsi:type="dcterms:W3CDTF">2012-05-21T12:03:58Z</dcterms:modified>
</cp:coreProperties>
</file>