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A166" lockStructure="1"/>
  <bookViews>
    <workbookView xWindow="360" yWindow="495" windowWidth="24675" windowHeight="11730" activeTab="4"/>
  </bookViews>
  <sheets>
    <sheet name="Harjoitus 5.1." sheetId="1" r:id="rId1"/>
    <sheet name="Harjoitus 5.2." sheetId="2" r:id="rId2"/>
    <sheet name="Harjoitus 5.3." sheetId="3" r:id="rId3"/>
    <sheet name="Harjoitus 5.4." sheetId="4" r:id="rId4"/>
    <sheet name="Harjoitus 5.5." sheetId="5" r:id="rId5"/>
  </sheets>
  <calcPr calcId="144525"/>
</workbook>
</file>

<file path=xl/calcChain.xml><?xml version="1.0" encoding="utf-8"?>
<calcChain xmlns="http://schemas.openxmlformats.org/spreadsheetml/2006/main">
  <c r="C22" i="5" l="1"/>
  <c r="F25" i="4" l="1"/>
  <c r="G33" i="4" s="1"/>
  <c r="F28" i="4"/>
  <c r="B30" i="4"/>
  <c r="B26" i="4"/>
  <c r="C15" i="4"/>
  <c r="C18" i="4"/>
  <c r="F7" i="4"/>
  <c r="D7" i="4"/>
  <c r="B7" i="4"/>
  <c r="B14" i="3" l="1"/>
  <c r="B6" i="3"/>
  <c r="I13" i="2"/>
  <c r="I6" i="2"/>
  <c r="D21" i="5"/>
  <c r="C21" i="5"/>
  <c r="B21" i="5" s="1"/>
  <c r="D20" i="5"/>
  <c r="C20" i="5"/>
  <c r="E20" i="5" s="1"/>
  <c r="F20" i="5" s="1"/>
  <c r="D19" i="5"/>
  <c r="C19" i="5"/>
  <c r="E19" i="5" s="1"/>
  <c r="F19" i="5" s="1"/>
  <c r="D18" i="5"/>
  <c r="C18" i="5"/>
  <c r="E18" i="5" s="1"/>
  <c r="F18" i="5" s="1"/>
  <c r="D17" i="5"/>
  <c r="C17" i="5"/>
  <c r="C23" i="5" s="1"/>
  <c r="D12" i="5"/>
  <c r="C12" i="5"/>
  <c r="B19" i="5" s="1"/>
  <c r="B12" i="5"/>
  <c r="E11" i="5"/>
  <c r="F11" i="5" s="1"/>
  <c r="F22" i="5" s="1"/>
  <c r="E22" i="5" s="1"/>
  <c r="B11" i="5"/>
  <c r="E10" i="5"/>
  <c r="F10" i="5" s="1"/>
  <c r="B10" i="5"/>
  <c r="E9" i="5"/>
  <c r="F9" i="5" s="1"/>
  <c r="B9" i="5"/>
  <c r="E8" i="5"/>
  <c r="F8" i="5" s="1"/>
  <c r="B8" i="5"/>
  <c r="E7" i="5"/>
  <c r="F7" i="5" s="1"/>
  <c r="B7" i="5"/>
  <c r="F6" i="5"/>
  <c r="E6" i="5"/>
  <c r="B6" i="5"/>
  <c r="B25" i="4"/>
  <c r="B28" i="4" s="1"/>
  <c r="H9" i="4"/>
  <c r="I9" i="4" s="1"/>
  <c r="H7" i="4"/>
  <c r="I12" i="4" s="1"/>
  <c r="F6" i="4"/>
  <c r="D6" i="4"/>
  <c r="D9" i="4" s="1"/>
  <c r="B6" i="4"/>
  <c r="B9" i="4" s="1"/>
  <c r="B13" i="3"/>
  <c r="B9" i="3"/>
  <c r="D20" i="2"/>
  <c r="F19" i="2"/>
  <c r="F18" i="2"/>
  <c r="F17" i="2"/>
  <c r="F16" i="2"/>
  <c r="H9" i="2"/>
  <c r="F9" i="2"/>
  <c r="D9" i="2"/>
  <c r="B9" i="2"/>
  <c r="I8" i="2"/>
  <c r="I7" i="2"/>
  <c r="H10" i="2" s="1"/>
  <c r="F6" i="2"/>
  <c r="G6" i="2" s="1"/>
  <c r="D6" i="2"/>
  <c r="E6" i="2" s="1"/>
  <c r="B6" i="2"/>
  <c r="C6" i="2" s="1"/>
  <c r="I5" i="2"/>
  <c r="I4" i="2"/>
  <c r="H20" i="1"/>
  <c r="G20" i="1" s="1"/>
  <c r="F13" i="1" s="1"/>
  <c r="E20" i="1"/>
  <c r="H19" i="1"/>
  <c r="G19" i="1" s="1"/>
  <c r="F11" i="1" s="1"/>
  <c r="E19" i="1"/>
  <c r="D13" i="1"/>
  <c r="D11" i="1"/>
  <c r="H9" i="1"/>
  <c r="F8" i="1"/>
  <c r="F10" i="1" s="1"/>
  <c r="D8" i="1"/>
  <c r="D10" i="1" s="1"/>
  <c r="B8" i="1"/>
  <c r="B10" i="1" s="1"/>
  <c r="H7" i="1"/>
  <c r="H6" i="1"/>
  <c r="H8" i="1" s="1"/>
  <c r="E4" i="1"/>
  <c r="D12" i="1" s="1"/>
  <c r="F9" i="4" l="1"/>
  <c r="H10" i="1"/>
  <c r="I8" i="1"/>
  <c r="C10" i="1"/>
  <c r="G10" i="1"/>
  <c r="F12" i="2"/>
  <c r="H11" i="2"/>
  <c r="D15" i="3"/>
  <c r="B15" i="3"/>
  <c r="C15" i="3" s="1"/>
  <c r="D14" i="1"/>
  <c r="E14" i="1" s="1"/>
  <c r="E10" i="1"/>
  <c r="B16" i="3"/>
  <c r="C16" i="3" s="1"/>
  <c r="D14" i="3"/>
  <c r="C14" i="3"/>
  <c r="G9" i="4"/>
  <c r="G28" i="4" s="1"/>
  <c r="B23" i="5"/>
  <c r="D22" i="5"/>
  <c r="D23" i="5" s="1"/>
  <c r="E23" i="5" s="1"/>
  <c r="F23" i="5" s="1"/>
  <c r="C4" i="1"/>
  <c r="B12" i="1" s="1"/>
  <c r="G4" i="1"/>
  <c r="F12" i="1" s="1"/>
  <c r="F14" i="1" s="1"/>
  <c r="G14" i="1" s="1"/>
  <c r="C8" i="1"/>
  <c r="E8" i="1"/>
  <c r="G8" i="1"/>
  <c r="C19" i="1"/>
  <c r="B11" i="1" s="1"/>
  <c r="B14" i="1" s="1"/>
  <c r="C14" i="1" s="1"/>
  <c r="C20" i="1"/>
  <c r="B13" i="1" s="1"/>
  <c r="J6" i="2"/>
  <c r="B10" i="2"/>
  <c r="F10" i="2"/>
  <c r="D12" i="2"/>
  <c r="F13" i="2"/>
  <c r="G13" i="2" s="1"/>
  <c r="I7" i="4"/>
  <c r="I11" i="4"/>
  <c r="I13" i="4"/>
  <c r="E17" i="5"/>
  <c r="F17" i="5" s="1"/>
  <c r="B18" i="5"/>
  <c r="B20" i="5"/>
  <c r="E21" i="5"/>
  <c r="F21" i="5" s="1"/>
  <c r="B22" i="5"/>
  <c r="D10" i="2"/>
  <c r="D13" i="2" s="1"/>
  <c r="E13" i="2" s="1"/>
  <c r="B12" i="2"/>
  <c r="B13" i="2" s="1"/>
  <c r="D13" i="3"/>
  <c r="E13" i="3" s="1"/>
  <c r="I10" i="4"/>
  <c r="E12" i="5"/>
  <c r="F12" i="5" s="1"/>
  <c r="B17" i="5"/>
  <c r="C13" i="2" l="1"/>
  <c r="J13" i="2" s="1"/>
  <c r="F26" i="4"/>
  <c r="D16" i="3"/>
  <c r="E14" i="3"/>
  <c r="E15" i="3"/>
  <c r="H14" i="1"/>
  <c r="I10" i="1"/>
  <c r="D18" i="3" l="1"/>
  <c r="E16" i="3"/>
  <c r="H17" i="1"/>
  <c r="I14" i="1"/>
</calcChain>
</file>

<file path=xl/sharedStrings.xml><?xml version="1.0" encoding="utf-8"?>
<sst xmlns="http://schemas.openxmlformats.org/spreadsheetml/2006/main" count="115" uniqueCount="74">
  <si>
    <t>Majoitus</t>
  </si>
  <si>
    <t>Ravintolat</t>
  </si>
  <si>
    <t>Kylpylä</t>
  </si>
  <si>
    <t>Yhteensä</t>
  </si>
  <si>
    <t>Liikevaihto</t>
  </si>
  <si>
    <t>Myyntikate</t>
  </si>
  <si>
    <t>Käyttökate</t>
  </si>
  <si>
    <t>Tulos ennen veroja</t>
  </si>
  <si>
    <t>pinta-alat</t>
  </si>
  <si>
    <t>tilavuus</t>
  </si>
  <si>
    <t>%</t>
  </si>
  <si>
    <t>Ohj.palvelut</t>
  </si>
  <si>
    <t>Hallinto</t>
  </si>
  <si>
    <t>Yht.</t>
  </si>
  <si>
    <t>hallinto</t>
  </si>
  <si>
    <t>Vastuukate</t>
  </si>
  <si>
    <t>henkilömäärä</t>
  </si>
  <si>
    <t>Myyntihinta (veroton) €</t>
  </si>
  <si>
    <t>Myyntikate-%</t>
  </si>
  <si>
    <t>Ainekäyttö-%</t>
  </si>
  <si>
    <t>Ainekäyttö (veroton)/annos €</t>
  </si>
  <si>
    <t>Tuloslaskelmat</t>
  </si>
  <si>
    <t>Myynti</t>
  </si>
  <si>
    <t>Ainekäyttö</t>
  </si>
  <si>
    <t>a)</t>
  </si>
  <si>
    <t>Alko</t>
  </si>
  <si>
    <t>Olut</t>
  </si>
  <si>
    <t>Ruoka</t>
  </si>
  <si>
    <t>Osuus myynnistä</t>
  </si>
  <si>
    <t>Myyntikatetavoite</t>
  </si>
  <si>
    <t>Kiinteät kustannukset</t>
  </si>
  <si>
    <t>Poistot</t>
  </si>
  <si>
    <t>Korot</t>
  </si>
  <si>
    <t>Tulostavoite</t>
  </si>
  <si>
    <t>c)</t>
  </si>
  <si>
    <t>Syyskuu</t>
  </si>
  <si>
    <t>Kahvi</t>
  </si>
  <si>
    <t>Virvokkeet</t>
  </si>
  <si>
    <t>Tupakka</t>
  </si>
  <si>
    <t>Sekalaiset</t>
  </si>
  <si>
    <t>Lokakuu</t>
  </si>
  <si>
    <t>Kylpylähotelli Imatrankosken Kuohut</t>
  </si>
  <si>
    <t>./. Palkat</t>
  </si>
  <si>
    <t>./. ainekäyttö</t>
  </si>
  <si>
    <t>Palkkakate</t>
  </si>
  <si>
    <t>./. vuokrat</t>
  </si>
  <si>
    <t>./. hall&amp;markk</t>
  </si>
  <si>
    <t>./. energia</t>
  </si>
  <si>
    <t>./. poistot</t>
  </si>
  <si>
    <t>./. korot</t>
  </si>
  <si>
    <t>Kustannusten kohdistaminen matkailukeskus</t>
  </si>
  <si>
    <t>majoitus</t>
  </si>
  <si>
    <t>ravintola</t>
  </si>
  <si>
    <t>ohjelmapalvelut</t>
  </si>
  <si>
    <t>Tasearvot</t>
  </si>
  <si>
    <t>hallinto yhteensä</t>
  </si>
  <si>
    <t>./. Raaka-aine</t>
  </si>
  <si>
    <t>./. palkat</t>
  </si>
  <si>
    <t>./. muut toimintakulut</t>
  </si>
  <si>
    <t>./. kiint siiv, korj</t>
  </si>
  <si>
    <t>./. laatuprojekti</t>
  </si>
  <si>
    <t>./. hallinto</t>
  </si>
  <si>
    <t>Myyntihinta (sis. alv 13%) €</t>
  </si>
  <si>
    <t>Euromääräistä myyntikatetta menetetään:</t>
  </si>
  <si>
    <t>Myyntikateprosentti pienee 3,3 prosenttiyksikköä (60%-56,7%)</t>
  </si>
  <si>
    <t>Myynti (sisältää arvonlisäveron)</t>
  </si>
  <si>
    <t xml:space="preserve">b) </t>
  </si>
  <si>
    <t>Keskimääräinen myyntikateprosentti</t>
  </si>
  <si>
    <t>Vastaus: ruuan myyntikateprosentti</t>
  </si>
  <si>
    <t>Oluen myyntikatetta menetetään</t>
  </si>
  <si>
    <t xml:space="preserve">Tämä oluen myyntikatteen menetys lisätään ruuan tavoitemyyntikatteeseen (416829+23628) ja </t>
  </si>
  <si>
    <t>lasketaan uusi ruuan tavoitemyynti</t>
  </si>
  <si>
    <t>Lisäys ruokamyynnille saadaan ruokamyyntien erotuksesta (812327-768750)</t>
  </si>
  <si>
    <t>Myynti-jakauma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</si>
</sst>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3" fillId="0" borderId="0" xfId="1" applyNumberFormat="1" applyFont="1"/>
    <xf numFmtId="2" fontId="3" fillId="0" borderId="0" xfId="0" applyNumberFormat="1" applyFont="1"/>
    <xf numFmtId="9" fontId="3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4" fontId="5" fillId="0" borderId="0" xfId="1" applyNumberFormat="1" applyFont="1"/>
    <xf numFmtId="1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164" fontId="6" fillId="0" borderId="0" xfId="1" applyNumberFormat="1" applyFont="1"/>
    <xf numFmtId="0" fontId="6" fillId="0" borderId="0" xfId="0" applyFont="1" applyAlignment="1">
      <alignment horizontal="left" indent="1"/>
    </xf>
    <xf numFmtId="9" fontId="5" fillId="0" borderId="0" xfId="0" applyNumberFormat="1" applyFont="1" applyAlignment="1">
      <alignment horizontal="center"/>
    </xf>
    <xf numFmtId="0" fontId="7" fillId="0" borderId="0" xfId="0" applyFont="1"/>
    <xf numFmtId="9" fontId="5" fillId="0" borderId="0" xfId="0" applyNumberFormat="1" applyFont="1"/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K13" sqref="K13"/>
    </sheetView>
  </sheetViews>
  <sheetFormatPr defaultRowHeight="18" x14ac:dyDescent="0.25"/>
  <cols>
    <col min="1" max="1" width="18.28515625" style="11" customWidth="1"/>
    <col min="2" max="2" width="15.5703125" style="11" customWidth="1"/>
    <col min="3" max="3" width="13.140625" style="11" customWidth="1"/>
    <col min="4" max="4" width="17.7109375" style="11" customWidth="1"/>
    <col min="5" max="5" width="12.5703125" style="11" customWidth="1"/>
    <col min="6" max="6" width="14.85546875" style="11" customWidth="1"/>
    <col min="7" max="7" width="12.28515625" style="11" customWidth="1"/>
    <col min="8" max="8" width="16.85546875" style="11" customWidth="1"/>
    <col min="9" max="9" width="12.140625" style="11" customWidth="1"/>
    <col min="10" max="10" width="9.85546875" style="11" bestFit="1" customWidth="1"/>
    <col min="11" max="16384" width="9.140625" style="11"/>
  </cols>
  <sheetData>
    <row r="1" spans="1:10" x14ac:dyDescent="0.25">
      <c r="A1" s="11" t="s">
        <v>41</v>
      </c>
      <c r="B1" s="10"/>
    </row>
    <row r="2" spans="1:10" x14ac:dyDescent="0.25">
      <c r="B2" s="10"/>
    </row>
    <row r="3" spans="1:10" x14ac:dyDescent="0.25">
      <c r="B3" s="10"/>
    </row>
    <row r="4" spans="1:10" x14ac:dyDescent="0.25">
      <c r="B4" s="15" t="s">
        <v>0</v>
      </c>
      <c r="C4" s="16">
        <f>B6/H6</f>
        <v>0.3300970873786408</v>
      </c>
      <c r="D4" s="17" t="s">
        <v>1</v>
      </c>
      <c r="E4" s="16">
        <f>D6/H6</f>
        <v>0.4854368932038835</v>
      </c>
      <c r="F4" s="17" t="s">
        <v>2</v>
      </c>
      <c r="G4" s="16">
        <f>F6/H6</f>
        <v>0.18446601941747573</v>
      </c>
      <c r="H4" s="17" t="s">
        <v>3</v>
      </c>
    </row>
    <row r="5" spans="1:10" x14ac:dyDescent="0.25">
      <c r="B5" s="15"/>
      <c r="C5" s="16"/>
      <c r="D5" s="17"/>
      <c r="E5" s="16"/>
      <c r="F5" s="17"/>
      <c r="G5" s="16"/>
      <c r="H5" s="17"/>
    </row>
    <row r="6" spans="1:10" x14ac:dyDescent="0.25">
      <c r="A6" s="11" t="s">
        <v>4</v>
      </c>
      <c r="B6" s="10">
        <v>170000</v>
      </c>
      <c r="D6" s="11">
        <v>250000</v>
      </c>
      <c r="E6" s="18"/>
      <c r="F6" s="11">
        <v>95000</v>
      </c>
      <c r="G6" s="18"/>
      <c r="H6" s="11">
        <f>B6+D6+F6</f>
        <v>515000</v>
      </c>
    </row>
    <row r="7" spans="1:10" x14ac:dyDescent="0.25">
      <c r="A7" s="11" t="s">
        <v>43</v>
      </c>
      <c r="B7" s="10">
        <v>15500</v>
      </c>
      <c r="D7" s="11">
        <v>97900</v>
      </c>
      <c r="E7" s="18"/>
      <c r="F7" s="11">
        <v>12300</v>
      </c>
      <c r="G7" s="18"/>
      <c r="H7" s="11">
        <f>B7+D7+F7</f>
        <v>125700</v>
      </c>
    </row>
    <row r="8" spans="1:10" x14ac:dyDescent="0.25">
      <c r="A8" s="11" t="s">
        <v>5</v>
      </c>
      <c r="B8" s="10">
        <f>B6-B7</f>
        <v>154500</v>
      </c>
      <c r="C8" s="19">
        <f>B8/B6</f>
        <v>0.9088235294117647</v>
      </c>
      <c r="D8" s="11">
        <f>D6-D7</f>
        <v>152100</v>
      </c>
      <c r="E8" s="19">
        <f>D8/D6</f>
        <v>0.60840000000000005</v>
      </c>
      <c r="F8" s="11">
        <f>F6-F7</f>
        <v>82700</v>
      </c>
      <c r="G8" s="19">
        <f>F8/F6</f>
        <v>0.8705263157894737</v>
      </c>
      <c r="H8" s="11">
        <f>H6-H7</f>
        <v>389300</v>
      </c>
      <c r="I8" s="19">
        <f>H8/H6</f>
        <v>0.75592233009708742</v>
      </c>
    </row>
    <row r="9" spans="1:10" x14ac:dyDescent="0.25">
      <c r="A9" s="11" t="s">
        <v>42</v>
      </c>
      <c r="B9" s="10">
        <v>28700</v>
      </c>
      <c r="D9" s="11">
        <v>69900</v>
      </c>
      <c r="E9" s="18"/>
      <c r="F9" s="11">
        <v>59200</v>
      </c>
      <c r="G9" s="18"/>
      <c r="H9" s="11">
        <f>B9+D9+F9</f>
        <v>157800</v>
      </c>
      <c r="I9" s="18"/>
    </row>
    <row r="10" spans="1:10" x14ac:dyDescent="0.25">
      <c r="A10" s="11" t="s">
        <v>44</v>
      </c>
      <c r="B10" s="10">
        <f>B8-B9</f>
        <v>125800</v>
      </c>
      <c r="C10" s="19">
        <f>B10/B6</f>
        <v>0.74</v>
      </c>
      <c r="D10" s="11">
        <f>D8-D9</f>
        <v>82200</v>
      </c>
      <c r="E10" s="19">
        <f>D10/D6</f>
        <v>0.32879999999999998</v>
      </c>
      <c r="F10" s="11">
        <f>F8-F9</f>
        <v>23500</v>
      </c>
      <c r="G10" s="19">
        <f>F10/F6</f>
        <v>0.24736842105263157</v>
      </c>
      <c r="H10" s="11">
        <f>H8-H9</f>
        <v>231500</v>
      </c>
      <c r="I10" s="19">
        <f>H10/H6</f>
        <v>0.44951456310679611</v>
      </c>
    </row>
    <row r="11" spans="1:10" x14ac:dyDescent="0.25">
      <c r="A11" s="11" t="s">
        <v>45</v>
      </c>
      <c r="B11" s="10">
        <f>H11*C19</f>
        <v>51136.36363636364</v>
      </c>
      <c r="D11" s="10">
        <f>H11*E19</f>
        <v>12272.727272727272</v>
      </c>
      <c r="E11" s="18"/>
      <c r="F11" s="10">
        <f>H11*G19</f>
        <v>26590.909090909092</v>
      </c>
      <c r="G11" s="18"/>
      <c r="H11" s="11">
        <v>90000</v>
      </c>
      <c r="I11" s="18"/>
    </row>
    <row r="12" spans="1:10" x14ac:dyDescent="0.25">
      <c r="A12" s="11" t="s">
        <v>46</v>
      </c>
      <c r="B12" s="10">
        <f>H12*C4</f>
        <v>14854.368932038837</v>
      </c>
      <c r="D12" s="10">
        <f>H12*E4</f>
        <v>21844.660194174758</v>
      </c>
      <c r="E12" s="18"/>
      <c r="F12" s="10">
        <f>H12*G4</f>
        <v>8300.9708737864075</v>
      </c>
      <c r="G12" s="18"/>
      <c r="H12" s="11">
        <v>45000</v>
      </c>
      <c r="I12" s="18"/>
    </row>
    <row r="13" spans="1:10" x14ac:dyDescent="0.25">
      <c r="A13" s="11" t="s">
        <v>47</v>
      </c>
      <c r="B13" s="10">
        <f>H13*C20</f>
        <v>14500</v>
      </c>
      <c r="D13" s="10">
        <f>H13*E20</f>
        <v>5117.6470588235297</v>
      </c>
      <c r="E13" s="18"/>
      <c r="F13" s="10">
        <f>H13*G20</f>
        <v>9382.3529411764703</v>
      </c>
      <c r="G13" s="18"/>
      <c r="H13" s="11">
        <v>29000</v>
      </c>
      <c r="I13" s="18"/>
      <c r="J13" s="10"/>
    </row>
    <row r="14" spans="1:10" x14ac:dyDescent="0.25">
      <c r="A14" s="11" t="s">
        <v>6</v>
      </c>
      <c r="B14" s="10">
        <f>B10-B11-B12-B13</f>
        <v>45309.267431597516</v>
      </c>
      <c r="C14" s="19">
        <f>B14/B6</f>
        <v>0.2665251025388089</v>
      </c>
      <c r="D14" s="10">
        <f>D10-D11-D12-D13</f>
        <v>42964.965474274446</v>
      </c>
      <c r="E14" s="19">
        <f>D14/D6</f>
        <v>0.17185986189709779</v>
      </c>
      <c r="F14" s="10">
        <f>F10-F11-F12-F13</f>
        <v>-20774.23290587197</v>
      </c>
      <c r="G14" s="19">
        <f>F14/F6</f>
        <v>-0.2186761358512839</v>
      </c>
      <c r="H14" s="10">
        <f>H10-H11-H12-H13</f>
        <v>67500</v>
      </c>
      <c r="I14" s="19">
        <f>H14/H6</f>
        <v>0.13106796116504854</v>
      </c>
    </row>
    <row r="15" spans="1:10" x14ac:dyDescent="0.25">
      <c r="A15" s="11" t="s">
        <v>48</v>
      </c>
      <c r="B15" s="10"/>
      <c r="E15" s="18"/>
      <c r="G15" s="18"/>
      <c r="H15" s="11">
        <v>28000</v>
      </c>
      <c r="I15" s="18"/>
    </row>
    <row r="16" spans="1:10" x14ac:dyDescent="0.25">
      <c r="A16" s="11" t="s">
        <v>49</v>
      </c>
      <c r="B16" s="10"/>
      <c r="E16" s="18"/>
      <c r="G16" s="18"/>
      <c r="H16" s="11">
        <v>19000</v>
      </c>
    </row>
    <row r="17" spans="1:8" x14ac:dyDescent="0.25">
      <c r="A17" s="11" t="s">
        <v>7</v>
      </c>
      <c r="B17" s="10"/>
      <c r="E17" s="18"/>
      <c r="G17" s="18"/>
      <c r="H17" s="10">
        <f>H14-H15-H16</f>
        <v>20500</v>
      </c>
    </row>
    <row r="18" spans="1:8" x14ac:dyDescent="0.25">
      <c r="B18" s="10"/>
      <c r="E18" s="18"/>
      <c r="G18" s="18"/>
    </row>
    <row r="19" spans="1:8" x14ac:dyDescent="0.25">
      <c r="A19" s="11" t="s">
        <v>8</v>
      </c>
      <c r="B19" s="10">
        <v>2500</v>
      </c>
      <c r="C19" s="19">
        <f>B19/H19</f>
        <v>0.56818181818181823</v>
      </c>
      <c r="D19" s="11">
        <v>600</v>
      </c>
      <c r="E19" s="19">
        <f>D19/H19</f>
        <v>0.13636363636363635</v>
      </c>
      <c r="F19" s="11">
        <v>1300</v>
      </c>
      <c r="G19" s="19">
        <f>F19/H19</f>
        <v>0.29545454545454547</v>
      </c>
      <c r="H19" s="11">
        <f>B19+D19+F19</f>
        <v>4400</v>
      </c>
    </row>
    <row r="20" spans="1:8" x14ac:dyDescent="0.25">
      <c r="A20" s="11" t="s">
        <v>9</v>
      </c>
      <c r="B20" s="10">
        <v>51000</v>
      </c>
      <c r="C20" s="19">
        <f>B20/H20</f>
        <v>0.5</v>
      </c>
      <c r="D20" s="11">
        <v>18000</v>
      </c>
      <c r="E20" s="19">
        <f>D20/H20</f>
        <v>0.17647058823529413</v>
      </c>
      <c r="F20" s="11">
        <v>33000</v>
      </c>
      <c r="G20" s="19">
        <f>F20/H20</f>
        <v>0.3235294117647059</v>
      </c>
      <c r="H20" s="11">
        <f>B20+D20+F20</f>
        <v>102000</v>
      </c>
    </row>
    <row r="21" spans="1:8" x14ac:dyDescent="0.25">
      <c r="B21" s="10"/>
    </row>
  </sheetData>
  <sheetProtection password="A166" sheet="1" objects="1" scenarios="1"/>
  <pageMargins left="0.75" right="0.75" top="1" bottom="1" header="0.4921259845" footer="0.4921259845"/>
  <pageSetup paperSize="9" scale="98" orientation="landscape" horizontalDpi="300" verticalDpi="300" r:id="rId1"/>
  <headerFooter alignWithMargins="0"/>
  <ignoredErrors>
    <ignoredError sqref="C8 C10 C14 E8 E10 E14 G8:H8 G10 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D7" sqref="D7"/>
    </sheetView>
  </sheetViews>
  <sheetFormatPr defaultRowHeight="18" x14ac:dyDescent="0.25"/>
  <cols>
    <col min="1" max="1" width="25.5703125" style="11" customWidth="1"/>
    <col min="2" max="2" width="14.5703125" style="11" customWidth="1"/>
    <col min="3" max="3" width="10.85546875" style="11" bestFit="1" customWidth="1"/>
    <col min="4" max="4" width="17.28515625" style="11" customWidth="1"/>
    <col min="5" max="5" width="10.85546875" style="11" bestFit="1" customWidth="1"/>
    <col min="6" max="6" width="18.7109375" style="11" customWidth="1"/>
    <col min="7" max="7" width="10.85546875" style="11" bestFit="1" customWidth="1"/>
    <col min="8" max="8" width="13.140625" style="11" customWidth="1"/>
    <col min="9" max="9" width="14.85546875" style="11" customWidth="1"/>
    <col min="10" max="10" width="10.85546875" style="11" bestFit="1" customWidth="1"/>
    <col min="11" max="16384" width="9.140625" style="11"/>
  </cols>
  <sheetData>
    <row r="1" spans="1:10" x14ac:dyDescent="0.25">
      <c r="A1" s="11" t="s">
        <v>50</v>
      </c>
    </row>
    <row r="3" spans="1:10" x14ac:dyDescent="0.25">
      <c r="B3" s="11" t="s">
        <v>0</v>
      </c>
      <c r="C3" s="11" t="s">
        <v>10</v>
      </c>
      <c r="D3" s="11" t="s">
        <v>1</v>
      </c>
      <c r="E3" s="11" t="s">
        <v>10</v>
      </c>
      <c r="F3" s="11" t="s">
        <v>11</v>
      </c>
      <c r="G3" s="11" t="s">
        <v>10</v>
      </c>
      <c r="H3" s="11" t="s">
        <v>12</v>
      </c>
      <c r="I3" s="11" t="s">
        <v>3</v>
      </c>
      <c r="J3" s="11" t="s">
        <v>10</v>
      </c>
    </row>
    <row r="4" spans="1:10" x14ac:dyDescent="0.25">
      <c r="A4" s="11" t="s">
        <v>4</v>
      </c>
      <c r="B4" s="11">
        <v>4600</v>
      </c>
      <c r="D4" s="11">
        <v>3200</v>
      </c>
      <c r="F4" s="11">
        <v>1300</v>
      </c>
      <c r="I4" s="11">
        <f>SUM(B4:H4)</f>
        <v>9100</v>
      </c>
    </row>
    <row r="5" spans="1:10" x14ac:dyDescent="0.25">
      <c r="A5" s="11" t="s">
        <v>56</v>
      </c>
      <c r="B5" s="11">
        <v>800</v>
      </c>
      <c r="D5" s="11">
        <v>1100</v>
      </c>
      <c r="F5" s="11">
        <v>200</v>
      </c>
      <c r="I5" s="11">
        <f>SUM(B5:H5)</f>
        <v>2100</v>
      </c>
    </row>
    <row r="6" spans="1:10" x14ac:dyDescent="0.25">
      <c r="A6" s="11" t="s">
        <v>5</v>
      </c>
      <c r="B6" s="11">
        <f>B4-B5</f>
        <v>3800</v>
      </c>
      <c r="C6" s="19">
        <f>B6/B4</f>
        <v>0.82608695652173914</v>
      </c>
      <c r="D6" s="11">
        <f>D4-D5</f>
        <v>2100</v>
      </c>
      <c r="E6" s="19">
        <f>D6/D4</f>
        <v>0.65625</v>
      </c>
      <c r="F6" s="11">
        <f>F4-F5</f>
        <v>1100</v>
      </c>
      <c r="G6" s="19">
        <f>F6/F4</f>
        <v>0.84615384615384615</v>
      </c>
      <c r="I6" s="11">
        <f>I4-I5</f>
        <v>7000</v>
      </c>
      <c r="J6" s="19">
        <f>I6/I4</f>
        <v>0.76923076923076927</v>
      </c>
    </row>
    <row r="7" spans="1:10" x14ac:dyDescent="0.25">
      <c r="A7" s="11" t="s">
        <v>57</v>
      </c>
      <c r="B7" s="11">
        <v>1200</v>
      </c>
      <c r="D7" s="11">
        <v>1000</v>
      </c>
      <c r="F7" s="11">
        <v>600</v>
      </c>
      <c r="H7" s="11">
        <v>500</v>
      </c>
      <c r="I7" s="11">
        <f>SUM(B7:H7)</f>
        <v>3300</v>
      </c>
    </row>
    <row r="8" spans="1:10" x14ac:dyDescent="0.25">
      <c r="A8" s="11" t="s">
        <v>58</v>
      </c>
      <c r="B8" s="11">
        <v>300</v>
      </c>
      <c r="D8" s="11">
        <v>200</v>
      </c>
      <c r="F8" s="11">
        <v>100</v>
      </c>
      <c r="H8" s="11">
        <v>400</v>
      </c>
      <c r="I8" s="11">
        <f>SUM(B8:H8)</f>
        <v>1000</v>
      </c>
    </row>
    <row r="9" spans="1:10" x14ac:dyDescent="0.25">
      <c r="A9" s="11" t="s">
        <v>59</v>
      </c>
      <c r="B9" s="11">
        <f>F16*I9</f>
        <v>700</v>
      </c>
      <c r="D9" s="11">
        <f>F17*I9</f>
        <v>340</v>
      </c>
      <c r="F9" s="11">
        <f>F18*I9</f>
        <v>100</v>
      </c>
      <c r="H9" s="11">
        <f>F19*I9</f>
        <v>160</v>
      </c>
      <c r="I9" s="11">
        <v>1300</v>
      </c>
    </row>
    <row r="10" spans="1:10" x14ac:dyDescent="0.25">
      <c r="A10" s="11" t="s">
        <v>60</v>
      </c>
      <c r="B10" s="10">
        <f>(B7/$I$7)*$I$10</f>
        <v>254.54545454545456</v>
      </c>
      <c r="D10" s="10">
        <f>(D7/$I$7)*$I$10</f>
        <v>212.12121212121212</v>
      </c>
      <c r="F10" s="10">
        <f>(F7/$I$7)*$I$10</f>
        <v>127.27272727272728</v>
      </c>
      <c r="H10" s="10">
        <f>(H7/$I$7)*$I$10</f>
        <v>106.06060606060606</v>
      </c>
      <c r="I10" s="11">
        <v>700</v>
      </c>
    </row>
    <row r="11" spans="1:10" x14ac:dyDescent="0.25">
      <c r="A11" s="20" t="s">
        <v>55</v>
      </c>
      <c r="B11" s="10"/>
      <c r="D11" s="10"/>
      <c r="F11" s="10"/>
      <c r="H11" s="10">
        <f>SUM(H7:H10)</f>
        <v>1166.060606060606</v>
      </c>
    </row>
    <row r="12" spans="1:10" x14ac:dyDescent="0.25">
      <c r="A12" s="11" t="s">
        <v>61</v>
      </c>
      <c r="B12" s="10">
        <f>(B4/$I$4)*$H$11</f>
        <v>589.43722943722935</v>
      </c>
      <c r="D12" s="10">
        <f>(D4/$I$4)*$H$11</f>
        <v>410.04329004329003</v>
      </c>
      <c r="F12" s="10">
        <f>(F4/$I$4)*$H$11</f>
        <v>166.58008658008657</v>
      </c>
      <c r="H12" s="10"/>
    </row>
    <row r="13" spans="1:10" x14ac:dyDescent="0.25">
      <c r="A13" s="11" t="s">
        <v>15</v>
      </c>
      <c r="B13" s="10">
        <f>B6-B7-B8-B9-B10-B12</f>
        <v>756.01731601731615</v>
      </c>
      <c r="C13" s="19">
        <f>B13/B4</f>
        <v>0.164351590438547</v>
      </c>
      <c r="D13" s="10">
        <f>D6-D7-D8-D9-D10-D12</f>
        <v>-62.164502164502153</v>
      </c>
      <c r="E13" s="19">
        <f>D13/D4</f>
        <v>-1.9426406926406924E-2</v>
      </c>
      <c r="F13" s="10">
        <f>F6-F7-F8-F9-F10-F12</f>
        <v>6.1471861471861473</v>
      </c>
      <c r="G13" s="19">
        <f>F13/F4</f>
        <v>4.7286047286047286E-3</v>
      </c>
      <c r="H13" s="10"/>
      <c r="I13" s="11">
        <f>I6-I7-I8-I9-I10</f>
        <v>700</v>
      </c>
      <c r="J13" s="19">
        <f>I13/I4</f>
        <v>7.6923076923076927E-2</v>
      </c>
    </row>
    <row r="15" spans="1:10" x14ac:dyDescent="0.25">
      <c r="B15" s="11" t="s">
        <v>54</v>
      </c>
    </row>
    <row r="16" spans="1:10" x14ac:dyDescent="0.25">
      <c r="B16" s="11" t="s">
        <v>51</v>
      </c>
      <c r="D16" s="11">
        <v>35000</v>
      </c>
      <c r="F16" s="19">
        <f>D16/$D$20</f>
        <v>0.53846153846153844</v>
      </c>
    </row>
    <row r="17" spans="2:6" x14ac:dyDescent="0.25">
      <c r="B17" s="11" t="s">
        <v>52</v>
      </c>
      <c r="D17" s="11">
        <v>17000</v>
      </c>
      <c r="F17" s="19">
        <f>D17/$D$20</f>
        <v>0.26153846153846155</v>
      </c>
    </row>
    <row r="18" spans="2:6" x14ac:dyDescent="0.25">
      <c r="B18" s="11" t="s">
        <v>53</v>
      </c>
      <c r="D18" s="11">
        <v>5000</v>
      </c>
      <c r="F18" s="19">
        <f>D18/$D$20</f>
        <v>7.6923076923076927E-2</v>
      </c>
    </row>
    <row r="19" spans="2:6" x14ac:dyDescent="0.25">
      <c r="B19" s="11" t="s">
        <v>14</v>
      </c>
      <c r="D19" s="11">
        <v>8000</v>
      </c>
      <c r="F19" s="19">
        <f>D19/$D$20</f>
        <v>0.12307692307692308</v>
      </c>
    </row>
    <row r="20" spans="2:6" x14ac:dyDescent="0.25">
      <c r="B20" s="11" t="s">
        <v>3</v>
      </c>
      <c r="D20" s="11">
        <f>SUM(D16:D19)</f>
        <v>65000</v>
      </c>
    </row>
  </sheetData>
  <sheetProtection password="A166" sheet="1" objects="1" scenarios="1"/>
  <pageMargins left="0.75" right="0.75" top="1" bottom="1" header="0.4921259845" footer="0.4921259845"/>
  <pageSetup paperSize="9" scale="94" orientation="landscape" horizontalDpi="300" verticalDpi="300" r:id="rId1"/>
  <headerFooter alignWithMargins="0"/>
  <ignoredErrors>
    <ignoredError sqref="C6 E6 E13 C13 I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B8" sqref="B8"/>
    </sheetView>
  </sheetViews>
  <sheetFormatPr defaultRowHeight="20.25" x14ac:dyDescent="0.3"/>
  <cols>
    <col min="1" max="1" width="44.5703125" style="2" customWidth="1"/>
    <col min="2" max="2" width="13.5703125" style="2" customWidth="1"/>
    <col min="3" max="3" width="15.85546875" style="2" customWidth="1"/>
    <col min="4" max="4" width="17" style="2" customWidth="1"/>
    <col min="5" max="5" width="13.42578125" style="2" customWidth="1"/>
    <col min="6" max="7" width="12.42578125" style="2" customWidth="1"/>
    <col min="8" max="16384" width="9.140625" style="2"/>
  </cols>
  <sheetData>
    <row r="1" spans="1:5" x14ac:dyDescent="0.3">
      <c r="A1" s="1"/>
    </row>
    <row r="3" spans="1:5" x14ac:dyDescent="0.3">
      <c r="A3" s="2" t="s">
        <v>16</v>
      </c>
      <c r="B3" s="2">
        <v>120</v>
      </c>
      <c r="D3" s="2">
        <v>130</v>
      </c>
    </row>
    <row r="5" spans="1:5" x14ac:dyDescent="0.3">
      <c r="A5" s="2" t="s">
        <v>62</v>
      </c>
      <c r="B5" s="5">
        <v>19</v>
      </c>
    </row>
    <row r="6" spans="1:5" x14ac:dyDescent="0.3">
      <c r="A6" s="2" t="s">
        <v>17</v>
      </c>
      <c r="B6" s="5">
        <f>B5/1.13</f>
        <v>16.814159292035399</v>
      </c>
    </row>
    <row r="7" spans="1:5" x14ac:dyDescent="0.3">
      <c r="A7" s="2" t="s">
        <v>18</v>
      </c>
      <c r="B7" s="6">
        <v>0.6</v>
      </c>
    </row>
    <row r="8" spans="1:5" x14ac:dyDescent="0.3">
      <c r="A8" s="2" t="s">
        <v>19</v>
      </c>
      <c r="B8" s="6">
        <v>0.4</v>
      </c>
    </row>
    <row r="9" spans="1:5" x14ac:dyDescent="0.3">
      <c r="A9" s="2" t="s">
        <v>20</v>
      </c>
      <c r="B9" s="5">
        <f>B6*B8</f>
        <v>6.72566371681416</v>
      </c>
    </row>
    <row r="11" spans="1:5" x14ac:dyDescent="0.3">
      <c r="A11" s="2" t="s">
        <v>21</v>
      </c>
    </row>
    <row r="13" spans="1:5" x14ac:dyDescent="0.3">
      <c r="A13" s="2" t="s">
        <v>22</v>
      </c>
      <c r="B13" s="2">
        <f>B3*B5</f>
        <v>2280</v>
      </c>
      <c r="C13" s="4">
        <v>1.1299999999999999</v>
      </c>
      <c r="D13" s="2">
        <f>B13</f>
        <v>2280</v>
      </c>
      <c r="E13" s="3">
        <f>D13/$D$14</f>
        <v>1.1299999999999999</v>
      </c>
    </row>
    <row r="14" spans="1:5" s="1" customFormat="1" x14ac:dyDescent="0.3">
      <c r="A14" s="1" t="s">
        <v>4</v>
      </c>
      <c r="B14" s="7">
        <f>B13/C13</f>
        <v>2017.6991150442479</v>
      </c>
      <c r="C14" s="3">
        <f>B14/$B$14</f>
        <v>1</v>
      </c>
      <c r="D14" s="7">
        <f>B14</f>
        <v>2017.6991150442479</v>
      </c>
      <c r="E14" s="3">
        <f>D14/$D$14</f>
        <v>1</v>
      </c>
    </row>
    <row r="15" spans="1:5" x14ac:dyDescent="0.3">
      <c r="A15" s="2" t="s">
        <v>23</v>
      </c>
      <c r="B15" s="8">
        <f>B3*B9</f>
        <v>807.07964601769925</v>
      </c>
      <c r="C15" s="4">
        <f>B15/$B$14</f>
        <v>0.4</v>
      </c>
      <c r="D15" s="8">
        <f>D3*B9</f>
        <v>874.33628318584078</v>
      </c>
      <c r="E15" s="3">
        <f>D15/$D$14</f>
        <v>0.43333333333333335</v>
      </c>
    </row>
    <row r="16" spans="1:5" s="1" customFormat="1" x14ac:dyDescent="0.3">
      <c r="A16" s="1" t="s">
        <v>5</v>
      </c>
      <c r="B16" s="7">
        <f>B14-B15</f>
        <v>1210.6194690265488</v>
      </c>
      <c r="C16" s="3">
        <f>B16/$B$14</f>
        <v>0.6</v>
      </c>
      <c r="D16" s="7">
        <f>D14-D15</f>
        <v>1143.3628318584072</v>
      </c>
      <c r="E16" s="3">
        <f>D16/$D$14</f>
        <v>0.56666666666666665</v>
      </c>
    </row>
    <row r="18" spans="1:4" x14ac:dyDescent="0.3">
      <c r="A18" s="2" t="s">
        <v>63</v>
      </c>
      <c r="D18" s="7">
        <f>D16-B16</f>
        <v>-67.256637168141651</v>
      </c>
    </row>
    <row r="20" spans="1:4" x14ac:dyDescent="0.3">
      <c r="A20" s="2" t="s">
        <v>64</v>
      </c>
    </row>
  </sheetData>
  <sheetProtection password="A166" sheet="1" objects="1" scenario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G35" sqref="G35"/>
    </sheetView>
  </sheetViews>
  <sheetFormatPr defaultRowHeight="18" x14ac:dyDescent="0.25"/>
  <cols>
    <col min="1" max="1" width="39.42578125" style="11" customWidth="1"/>
    <col min="2" max="2" width="13.7109375" style="11" customWidth="1"/>
    <col min="3" max="3" width="11" style="11" customWidth="1"/>
    <col min="4" max="4" width="12.42578125" style="11" customWidth="1"/>
    <col min="5" max="5" width="8" style="11" customWidth="1"/>
    <col min="6" max="6" width="12.42578125" style="11" customWidth="1"/>
    <col min="7" max="7" width="10.42578125" style="11" customWidth="1"/>
    <col min="8" max="8" width="13.42578125" style="11" customWidth="1"/>
    <col min="9" max="9" width="12.28515625" style="11" customWidth="1"/>
    <col min="10" max="16384" width="9.140625" style="11"/>
  </cols>
  <sheetData>
    <row r="1" spans="1:9" x14ac:dyDescent="0.25">
      <c r="A1" s="9"/>
    </row>
    <row r="3" spans="1:9" x14ac:dyDescent="0.25">
      <c r="A3" s="9" t="s">
        <v>24</v>
      </c>
      <c r="B3" s="12" t="s">
        <v>25</v>
      </c>
      <c r="C3" s="12"/>
      <c r="D3" s="12" t="s">
        <v>26</v>
      </c>
      <c r="E3" s="12"/>
      <c r="F3" s="12" t="s">
        <v>27</v>
      </c>
      <c r="G3" s="12"/>
      <c r="H3" s="12" t="s">
        <v>13</v>
      </c>
      <c r="I3" s="12" t="s">
        <v>10</v>
      </c>
    </row>
    <row r="4" spans="1:9" x14ac:dyDescent="0.25">
      <c r="A4" s="11" t="s">
        <v>28</v>
      </c>
      <c r="B4" s="21">
        <v>0.28000000000000003</v>
      </c>
      <c r="D4" s="21">
        <v>0.31</v>
      </c>
      <c r="E4" s="12"/>
      <c r="F4" s="21">
        <v>0.41</v>
      </c>
      <c r="G4" s="12"/>
      <c r="H4" s="12"/>
      <c r="I4" s="12"/>
    </row>
    <row r="5" spans="1:9" x14ac:dyDescent="0.25"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1" t="s">
        <v>65</v>
      </c>
      <c r="B6" s="11">
        <f>B4*$H$6</f>
        <v>525000</v>
      </c>
      <c r="D6" s="11">
        <f>D4*$H$6</f>
        <v>581250</v>
      </c>
      <c r="F6" s="11">
        <f>F4*$H$6</f>
        <v>768750</v>
      </c>
      <c r="H6" s="11">
        <v>1875000</v>
      </c>
      <c r="I6" s="14"/>
    </row>
    <row r="7" spans="1:9" s="9" customFormat="1" x14ac:dyDescent="0.25">
      <c r="A7" s="9" t="s">
        <v>4</v>
      </c>
      <c r="B7" s="13">
        <f>B6/1.23</f>
        <v>426829.26829268294</v>
      </c>
      <c r="D7" s="9">
        <f>D6/1.23</f>
        <v>472560.97560975613</v>
      </c>
      <c r="F7" s="9">
        <f>F6/1.13</f>
        <v>680309.73451327439</v>
      </c>
      <c r="H7" s="9">
        <f>H6/1.22</f>
        <v>1536885.2459016393</v>
      </c>
      <c r="I7" s="14">
        <f>H7/$H$7</f>
        <v>1</v>
      </c>
    </row>
    <row r="8" spans="1:9" x14ac:dyDescent="0.25">
      <c r="A8" s="11" t="s">
        <v>23</v>
      </c>
      <c r="H8" s="22"/>
      <c r="I8" s="14"/>
    </row>
    <row r="9" spans="1:9" s="9" customFormat="1" x14ac:dyDescent="0.25">
      <c r="A9" s="9" t="s">
        <v>29</v>
      </c>
      <c r="B9" s="13">
        <f>C9*B7</f>
        <v>264634.14634146343</v>
      </c>
      <c r="C9" s="23">
        <v>0.62</v>
      </c>
      <c r="D9" s="13">
        <f>E9*D7</f>
        <v>283536.58536585368</v>
      </c>
      <c r="E9" s="23">
        <v>0.6</v>
      </c>
      <c r="F9" s="13">
        <f>H9-D9-B9</f>
        <v>416829.26829268283</v>
      </c>
      <c r="G9" s="14">
        <f>F9/F7</f>
        <v>0.61270513583184594</v>
      </c>
      <c r="H9" s="9">
        <f>SUM(H10:H13)</f>
        <v>965000</v>
      </c>
      <c r="I9" s="14">
        <f>H9/$H$7</f>
        <v>0.6278933333333333</v>
      </c>
    </row>
    <row r="10" spans="1:9" x14ac:dyDescent="0.25">
      <c r="A10" s="11" t="s">
        <v>30</v>
      </c>
      <c r="H10" s="11">
        <v>595000</v>
      </c>
      <c r="I10" s="14">
        <f>H10/$H$7</f>
        <v>0.38714666666666669</v>
      </c>
    </row>
    <row r="11" spans="1:9" x14ac:dyDescent="0.25">
      <c r="A11" s="11" t="s">
        <v>31</v>
      </c>
      <c r="H11" s="11">
        <v>50000</v>
      </c>
      <c r="I11" s="14">
        <f>H11/$H$7</f>
        <v>3.2533333333333331E-2</v>
      </c>
    </row>
    <row r="12" spans="1:9" x14ac:dyDescent="0.25">
      <c r="A12" s="11" t="s">
        <v>32</v>
      </c>
      <c r="H12" s="22">
        <v>100000</v>
      </c>
      <c r="I12" s="14">
        <f>H12/$H$7</f>
        <v>6.5066666666666662E-2</v>
      </c>
    </row>
    <row r="13" spans="1:9" x14ac:dyDescent="0.25">
      <c r="A13" s="11" t="s">
        <v>33</v>
      </c>
      <c r="H13" s="9">
        <v>220000</v>
      </c>
      <c r="I13" s="14">
        <f>H13/$H$7</f>
        <v>0.14314666666666667</v>
      </c>
    </row>
    <row r="14" spans="1:9" x14ac:dyDescent="0.25">
      <c r="H14" s="9"/>
      <c r="I14" s="14"/>
    </row>
    <row r="15" spans="1:9" x14ac:dyDescent="0.25">
      <c r="A15" s="9" t="s">
        <v>68</v>
      </c>
      <c r="C15" s="18">
        <f>G9</f>
        <v>0.61270513583184594</v>
      </c>
      <c r="H15" s="9"/>
      <c r="I15" s="14"/>
    </row>
    <row r="16" spans="1:9" x14ac:dyDescent="0.25">
      <c r="H16" s="9"/>
      <c r="I16" s="14"/>
    </row>
    <row r="17" spans="1:9" x14ac:dyDescent="0.25">
      <c r="A17" s="9" t="s">
        <v>66</v>
      </c>
      <c r="H17" s="9"/>
      <c r="I17" s="14"/>
    </row>
    <row r="18" spans="1:9" x14ac:dyDescent="0.25">
      <c r="A18" s="9" t="s">
        <v>67</v>
      </c>
      <c r="C18" s="18">
        <f>I9</f>
        <v>0.6278933333333333</v>
      </c>
      <c r="H18" s="9"/>
      <c r="I18" s="14"/>
    </row>
    <row r="19" spans="1:9" x14ac:dyDescent="0.25">
      <c r="A19" s="9"/>
      <c r="H19" s="9"/>
      <c r="I19" s="14"/>
    </row>
    <row r="20" spans="1:9" x14ac:dyDescent="0.25">
      <c r="H20" s="9"/>
      <c r="I20" s="14"/>
    </row>
    <row r="22" spans="1:9" x14ac:dyDescent="0.25">
      <c r="A22" s="9" t="s">
        <v>34</v>
      </c>
      <c r="B22" s="12" t="s">
        <v>26</v>
      </c>
      <c r="C22" s="12" t="s">
        <v>10</v>
      </c>
      <c r="F22" s="12" t="s">
        <v>27</v>
      </c>
      <c r="G22" s="12" t="s">
        <v>10</v>
      </c>
    </row>
    <row r="23" spans="1:9" x14ac:dyDescent="0.25">
      <c r="B23" s="21">
        <v>0.31</v>
      </c>
      <c r="C23" s="12"/>
      <c r="F23" s="21">
        <v>0.41</v>
      </c>
      <c r="G23" s="12"/>
    </row>
    <row r="24" spans="1:9" x14ac:dyDescent="0.25">
      <c r="B24" s="12"/>
      <c r="C24" s="12"/>
      <c r="F24" s="12"/>
      <c r="G24" s="12"/>
    </row>
    <row r="25" spans="1:9" x14ac:dyDescent="0.25">
      <c r="A25" s="11" t="s">
        <v>65</v>
      </c>
      <c r="B25" s="11">
        <f>B23*$H$6</f>
        <v>581250</v>
      </c>
      <c r="F25" s="11">
        <f>F26*1.13</f>
        <v>812326.74444119364</v>
      </c>
    </row>
    <row r="26" spans="1:9" x14ac:dyDescent="0.25">
      <c r="A26" s="9" t="s">
        <v>4</v>
      </c>
      <c r="B26" s="13">
        <f>B25/1.23</f>
        <v>472560.97560975613</v>
      </c>
      <c r="C26" s="9"/>
      <c r="F26" s="9">
        <f>F28/G28</f>
        <v>718873.22516919801</v>
      </c>
      <c r="G26" s="9"/>
    </row>
    <row r="27" spans="1:9" x14ac:dyDescent="0.25">
      <c r="A27" s="11" t="s">
        <v>23</v>
      </c>
    </row>
    <row r="28" spans="1:9" x14ac:dyDescent="0.25">
      <c r="A28" s="9" t="s">
        <v>29</v>
      </c>
      <c r="B28" s="13">
        <f>C28*B26</f>
        <v>259908.53658536589</v>
      </c>
      <c r="C28" s="23">
        <v>0.55000000000000004</v>
      </c>
      <c r="F28" s="13">
        <f>F9+B30</f>
        <v>440457.31707317062</v>
      </c>
      <c r="G28" s="14">
        <f>G9</f>
        <v>0.61270513583184594</v>
      </c>
    </row>
    <row r="30" spans="1:9" x14ac:dyDescent="0.25">
      <c r="A30" s="11" t="s">
        <v>69</v>
      </c>
      <c r="B30" s="10">
        <f>D9-B28</f>
        <v>23628.048780487792</v>
      </c>
    </row>
    <row r="31" spans="1:9" x14ac:dyDescent="0.25">
      <c r="A31" s="11" t="s">
        <v>70</v>
      </c>
      <c r="B31" s="10"/>
    </row>
    <row r="32" spans="1:9" x14ac:dyDescent="0.25">
      <c r="A32" s="11" t="s">
        <v>71</v>
      </c>
      <c r="B32" s="10"/>
    </row>
    <row r="33" spans="1:7" x14ac:dyDescent="0.25">
      <c r="A33" s="11" t="s">
        <v>72</v>
      </c>
      <c r="G33" s="10">
        <f>F25-F6</f>
        <v>43576.744441193645</v>
      </c>
    </row>
  </sheetData>
  <sheetProtection password="A166" sheet="1" objects="1" scenarios="1"/>
  <pageMargins left="0.75" right="0.75" top="1" bottom="1" header="0.4921259845" footer="0.4921259845"/>
  <pageSetup paperSize="9" scale="9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2" sqref="C22"/>
    </sheetView>
  </sheetViews>
  <sheetFormatPr defaultRowHeight="18" x14ac:dyDescent="0.25"/>
  <cols>
    <col min="1" max="1" width="29.85546875" style="11" customWidth="1"/>
    <col min="2" max="2" width="19" style="11" customWidth="1"/>
    <col min="3" max="3" width="15.42578125" style="11" customWidth="1"/>
    <col min="4" max="4" width="17.42578125" style="11" customWidth="1"/>
    <col min="5" max="5" width="17.28515625" style="11" customWidth="1"/>
    <col min="6" max="6" width="18" style="11" customWidth="1"/>
    <col min="7" max="16384" width="9.140625" style="11"/>
  </cols>
  <sheetData>
    <row r="1" spans="1:6" x14ac:dyDescent="0.25">
      <c r="A1" s="9"/>
      <c r="B1" s="9"/>
    </row>
    <row r="3" spans="1:6" x14ac:dyDescent="0.25">
      <c r="A3" s="9" t="s">
        <v>35</v>
      </c>
      <c r="B3" s="9"/>
    </row>
    <row r="4" spans="1:6" x14ac:dyDescent="0.25">
      <c r="A4" s="9"/>
      <c r="B4" s="12"/>
    </row>
    <row r="5" spans="1:6" ht="36" x14ac:dyDescent="0.25">
      <c r="B5" s="25" t="s">
        <v>73</v>
      </c>
      <c r="C5" s="12" t="s">
        <v>4</v>
      </c>
      <c r="D5" s="12" t="s">
        <v>23</v>
      </c>
      <c r="E5" s="12" t="s">
        <v>5</v>
      </c>
      <c r="F5" s="12" t="s">
        <v>18</v>
      </c>
    </row>
    <row r="6" spans="1:6" x14ac:dyDescent="0.25">
      <c r="A6" s="11" t="s">
        <v>27</v>
      </c>
      <c r="B6" s="24">
        <f>C6/$C$12</f>
        <v>0.41723358839610042</v>
      </c>
      <c r="C6" s="11">
        <v>33425</v>
      </c>
      <c r="D6" s="11">
        <v>14038</v>
      </c>
      <c r="E6" s="11">
        <f>C6-D6</f>
        <v>19387</v>
      </c>
      <c r="F6" s="19">
        <f>E6/C6</f>
        <v>0.58001495886312637</v>
      </c>
    </row>
    <row r="7" spans="1:6" x14ac:dyDescent="0.25">
      <c r="A7" s="11" t="s">
        <v>36</v>
      </c>
      <c r="B7" s="24">
        <f t="shared" ref="B7:B12" si="0">C7/$C$12</f>
        <v>0.12178102882250877</v>
      </c>
      <c r="C7" s="11">
        <v>9756</v>
      </c>
      <c r="D7" s="11">
        <v>2060</v>
      </c>
      <c r="E7" s="11">
        <f t="shared" ref="E7:E12" si="1">C7-D7</f>
        <v>7696</v>
      </c>
      <c r="F7" s="19">
        <f t="shared" ref="F7:F12" si="2">E7/C7</f>
        <v>0.78884788847888476</v>
      </c>
    </row>
    <row r="8" spans="1:6" x14ac:dyDescent="0.25">
      <c r="A8" s="11" t="s">
        <v>26</v>
      </c>
      <c r="B8" s="24">
        <f t="shared" si="0"/>
        <v>0.272559323938036</v>
      </c>
      <c r="C8" s="11">
        <v>21835</v>
      </c>
      <c r="D8" s="11">
        <v>8763</v>
      </c>
      <c r="E8" s="11">
        <f t="shared" si="1"/>
        <v>13072</v>
      </c>
      <c r="F8" s="19">
        <f t="shared" si="2"/>
        <v>0.59867185711014426</v>
      </c>
    </row>
    <row r="9" spans="1:6" x14ac:dyDescent="0.25">
      <c r="A9" s="11" t="s">
        <v>37</v>
      </c>
      <c r="B9" s="24">
        <f t="shared" si="0"/>
        <v>7.9314950506172682E-2</v>
      </c>
      <c r="C9" s="11">
        <v>6354</v>
      </c>
      <c r="D9" s="11">
        <v>2188</v>
      </c>
      <c r="E9" s="11">
        <f t="shared" si="1"/>
        <v>4166</v>
      </c>
      <c r="F9" s="19">
        <f t="shared" si="2"/>
        <v>0.65564998426188226</v>
      </c>
    </row>
    <row r="10" spans="1:6" x14ac:dyDescent="0.25">
      <c r="A10" s="11" t="s">
        <v>38</v>
      </c>
      <c r="B10" s="24">
        <f t="shared" si="0"/>
        <v>7.1887755738912262E-2</v>
      </c>
      <c r="C10" s="11">
        <v>5759</v>
      </c>
      <c r="D10" s="11">
        <v>4895</v>
      </c>
      <c r="E10" s="11">
        <f t="shared" si="1"/>
        <v>864</v>
      </c>
      <c r="F10" s="19">
        <f t="shared" si="2"/>
        <v>0.1500260461885744</v>
      </c>
    </row>
    <row r="11" spans="1:6" x14ac:dyDescent="0.25">
      <c r="A11" s="11" t="s">
        <v>39</v>
      </c>
      <c r="B11" s="24">
        <f t="shared" si="0"/>
        <v>3.72233525982699E-2</v>
      </c>
      <c r="C11" s="11">
        <v>2982</v>
      </c>
      <c r="D11" s="11">
        <v>1853</v>
      </c>
      <c r="E11" s="11">
        <f t="shared" si="1"/>
        <v>1129</v>
      </c>
      <c r="F11" s="19">
        <f t="shared" si="2"/>
        <v>0.37860496311200537</v>
      </c>
    </row>
    <row r="12" spans="1:6" x14ac:dyDescent="0.25">
      <c r="A12" s="11" t="s">
        <v>3</v>
      </c>
      <c r="B12" s="24">
        <f t="shared" si="0"/>
        <v>1</v>
      </c>
      <c r="C12" s="9">
        <f>SUM(C6:C11)</f>
        <v>80111</v>
      </c>
      <c r="D12" s="9">
        <f>SUM(D6:D11)</f>
        <v>33797</v>
      </c>
      <c r="E12" s="9">
        <f t="shared" si="1"/>
        <v>46314</v>
      </c>
      <c r="F12" s="14">
        <f t="shared" si="2"/>
        <v>0.57812285453932666</v>
      </c>
    </row>
    <row r="14" spans="1:6" x14ac:dyDescent="0.25">
      <c r="A14" s="9" t="s">
        <v>40</v>
      </c>
      <c r="B14" s="9"/>
    </row>
    <row r="15" spans="1:6" x14ac:dyDescent="0.25">
      <c r="A15" s="9"/>
      <c r="B15" s="12"/>
    </row>
    <row r="16" spans="1:6" ht="36" x14ac:dyDescent="0.25">
      <c r="B16" s="25" t="s">
        <v>73</v>
      </c>
      <c r="C16" s="12" t="s">
        <v>4</v>
      </c>
      <c r="D16" s="12" t="s">
        <v>23</v>
      </c>
      <c r="E16" s="12" t="s">
        <v>5</v>
      </c>
      <c r="F16" s="12" t="s">
        <v>18</v>
      </c>
    </row>
    <row r="17" spans="1:6" x14ac:dyDescent="0.25">
      <c r="A17" s="11" t="s">
        <v>27</v>
      </c>
      <c r="B17" s="24">
        <f>C17/$C$12</f>
        <v>0.44226760369986645</v>
      </c>
      <c r="C17" s="10">
        <f>33425*1.06</f>
        <v>35430.5</v>
      </c>
      <c r="D17" s="10">
        <f>1.06*1.02*14038</f>
        <v>15177.885600000001</v>
      </c>
      <c r="E17" s="10">
        <f>C17-D17</f>
        <v>20252.614399999999</v>
      </c>
      <c r="F17" s="19">
        <f>E17/C17</f>
        <v>0.57161525804038893</v>
      </c>
    </row>
    <row r="18" spans="1:6" x14ac:dyDescent="0.25">
      <c r="A18" s="11" t="s">
        <v>36</v>
      </c>
      <c r="B18" s="24">
        <f t="shared" ref="B18:B23" si="3">C18/$C$12</f>
        <v>0.12275527705308885</v>
      </c>
      <c r="C18" s="10">
        <f>0.96*1.05*9756</f>
        <v>9834.0480000000007</v>
      </c>
      <c r="D18" s="10">
        <f>0.96*1.07*2060</f>
        <v>2116.0320000000002</v>
      </c>
      <c r="E18" s="10">
        <f t="shared" ref="E18:E23" si="4">C18-D18</f>
        <v>7718.0160000000005</v>
      </c>
      <c r="F18" s="19">
        <f t="shared" ref="F18:F23" si="5">E18/C18</f>
        <v>0.78482594349753021</v>
      </c>
    </row>
    <row r="19" spans="1:6" x14ac:dyDescent="0.25">
      <c r="A19" s="11" t="s">
        <v>26</v>
      </c>
      <c r="B19" s="24">
        <f t="shared" si="3"/>
        <v>0.29436406985307889</v>
      </c>
      <c r="C19" s="10">
        <f>1.08*21835</f>
        <v>23581.800000000003</v>
      </c>
      <c r="D19" s="10">
        <f>1.08*8763</f>
        <v>9464.0400000000009</v>
      </c>
      <c r="E19" s="10">
        <f t="shared" si="4"/>
        <v>14117.760000000002</v>
      </c>
      <c r="F19" s="19">
        <f t="shared" si="5"/>
        <v>0.59867185711014426</v>
      </c>
    </row>
    <row r="20" spans="1:6" x14ac:dyDescent="0.25">
      <c r="A20" s="11" t="s">
        <v>37</v>
      </c>
      <c r="B20" s="24">
        <f t="shared" si="3"/>
        <v>8.743680143800478E-2</v>
      </c>
      <c r="C20" s="10">
        <f>1.04*1.06*6354</f>
        <v>7004.6496000000006</v>
      </c>
      <c r="D20" s="10">
        <f>1.04*2188</f>
        <v>2275.52</v>
      </c>
      <c r="E20" s="10">
        <f t="shared" si="4"/>
        <v>4729.1296000000002</v>
      </c>
      <c r="F20" s="19">
        <f t="shared" si="5"/>
        <v>0.67514149458668138</v>
      </c>
    </row>
    <row r="21" spans="1:6" x14ac:dyDescent="0.25">
      <c r="A21" s="11" t="s">
        <v>38</v>
      </c>
      <c r="B21" s="24">
        <f t="shared" si="3"/>
        <v>6.5417857722410155E-2</v>
      </c>
      <c r="C21" s="10">
        <f>0.91*5759</f>
        <v>5240.6900000000005</v>
      </c>
      <c r="D21" s="10">
        <f>0.91*4895</f>
        <v>4454.45</v>
      </c>
      <c r="E21" s="10">
        <f t="shared" si="4"/>
        <v>786.24000000000069</v>
      </c>
      <c r="F21" s="19">
        <f t="shared" si="5"/>
        <v>0.15002604618857451</v>
      </c>
    </row>
    <row r="22" spans="1:6" x14ac:dyDescent="0.25">
      <c r="A22" s="11" t="s">
        <v>39</v>
      </c>
      <c r="B22" s="24">
        <f t="shared" si="3"/>
        <v>3.9828987280148796E-2</v>
      </c>
      <c r="C22" s="10">
        <f>1.07*2982</f>
        <v>3190.7400000000002</v>
      </c>
      <c r="D22" s="10">
        <f>C22-E22</f>
        <v>1918.8952000000002</v>
      </c>
      <c r="E22" s="10">
        <f>F22*C22</f>
        <v>1271.8448000000001</v>
      </c>
      <c r="F22" s="19">
        <f>F11+2%</f>
        <v>0.39860496311200538</v>
      </c>
    </row>
    <row r="23" spans="1:6" x14ac:dyDescent="0.25">
      <c r="A23" s="11" t="s">
        <v>3</v>
      </c>
      <c r="B23" s="24">
        <f t="shared" si="3"/>
        <v>1.052070597046598</v>
      </c>
      <c r="C23" s="13">
        <f>SUM(C17:C22)</f>
        <v>84282.42760000001</v>
      </c>
      <c r="D23" s="13">
        <f>SUM(D17:D22)</f>
        <v>35406.822800000002</v>
      </c>
      <c r="E23" s="13">
        <f t="shared" si="4"/>
        <v>48875.604800000008</v>
      </c>
      <c r="F23" s="14">
        <f t="shared" si="5"/>
        <v>0.57990267000804807</v>
      </c>
    </row>
  </sheetData>
  <sheetProtection password="A166" sheet="1" objects="1" scenarios="1"/>
  <pageMargins left="0.75" right="0.75" top="1" bottom="1" header="0.4921259845" footer="0.4921259845"/>
  <pageSetup paperSize="9" orientation="landscape" horizontalDpi="300" verticalDpi="300" r:id="rId1"/>
  <headerFooter alignWithMargins="0"/>
  <ignoredErrors>
    <ignoredError sqref="E22:F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Harjoitus 5.1.</vt:lpstr>
      <vt:lpstr>Harjoitus 5.2.</vt:lpstr>
      <vt:lpstr>Harjoitus 5.3.</vt:lpstr>
      <vt:lpstr>Harjoitus 5.4.</vt:lpstr>
      <vt:lpstr>Harjoitus 5.5.</vt:lpstr>
    </vt:vector>
  </TitlesOfParts>
  <Company>HAAGAHELIA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axuskju</dc:creator>
  <cp:lastModifiedBy>axuskju</cp:lastModifiedBy>
  <dcterms:created xsi:type="dcterms:W3CDTF">2010-10-19T09:49:02Z</dcterms:created>
  <dcterms:modified xsi:type="dcterms:W3CDTF">2010-10-29T10:59:00Z</dcterms:modified>
</cp:coreProperties>
</file>